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35"/>
  </bookViews>
  <sheets>
    <sheet name="Расчет стоимости" sheetId="15" r:id="rId1"/>
  </sheets>
  <definedNames>
    <definedName name="_xlnm.Print_Area" localSheetId="0">'Расчет стоимости'!$A$1:$H$97</definedName>
  </definedNames>
  <calcPr calcId="162913"/>
</workbook>
</file>

<file path=xl/calcChain.xml><?xml version="1.0" encoding="utf-8"?>
<calcChain xmlns="http://schemas.openxmlformats.org/spreadsheetml/2006/main">
  <c r="E91" i="15" l="1"/>
  <c r="F91" i="15"/>
  <c r="G91" i="15"/>
  <c r="D91" i="15"/>
  <c r="H91" i="15"/>
  <c r="D29" i="15" l="1"/>
  <c r="D24" i="15"/>
  <c r="D28" i="15" s="1"/>
  <c r="D85" i="15" l="1"/>
  <c r="G75" i="15"/>
  <c r="E85" i="15" l="1"/>
  <c r="F85" i="15"/>
  <c r="G85" i="15"/>
  <c r="D53" i="15" l="1"/>
  <c r="H17" i="15" l="1"/>
  <c r="H18" i="15"/>
  <c r="H19" i="15"/>
  <c r="H20" i="15"/>
  <c r="H25" i="15"/>
  <c r="H26" i="15"/>
  <c r="H27" i="15"/>
  <c r="D21" i="15"/>
  <c r="D22" i="15" s="1"/>
  <c r="D31" i="15" s="1"/>
  <c r="E21" i="15"/>
  <c r="E22" i="15" s="1"/>
  <c r="E31" i="15" s="1"/>
  <c r="F101" i="15" l="1"/>
  <c r="H75" i="15"/>
  <c r="F63" i="15"/>
  <c r="H62" i="15"/>
  <c r="H61" i="15"/>
  <c r="G54" i="15"/>
  <c r="F54" i="15"/>
  <c r="G48" i="15"/>
  <c r="F48" i="15"/>
  <c r="E48" i="15"/>
  <c r="D48" i="15"/>
  <c r="D49" i="15" s="1"/>
  <c r="H47" i="15"/>
  <c r="H48" i="15" s="1"/>
  <c r="G45" i="15"/>
  <c r="F45" i="15"/>
  <c r="E45" i="15"/>
  <c r="D45" i="15"/>
  <c r="D44" i="15"/>
  <c r="H44" i="15" s="1"/>
  <c r="H43" i="15"/>
  <c r="H42" i="15"/>
  <c r="G37" i="15"/>
  <c r="F37" i="15"/>
  <c r="F38" i="15" s="1"/>
  <c r="E37" i="15"/>
  <c r="E38" i="15" s="1"/>
  <c r="D37" i="15"/>
  <c r="D38" i="15" s="1"/>
  <c r="H36" i="15"/>
  <c r="H35" i="15"/>
  <c r="H34" i="15"/>
  <c r="H33" i="15"/>
  <c r="G28" i="15"/>
  <c r="F28" i="15"/>
  <c r="F29" i="15" s="1"/>
  <c r="H29" i="15" s="1"/>
  <c r="H24" i="15"/>
  <c r="H28" i="15" s="1"/>
  <c r="G21" i="15"/>
  <c r="G22" i="15" s="1"/>
  <c r="G31" i="15" s="1"/>
  <c r="G40" i="15" s="1"/>
  <c r="G51" i="15" s="1"/>
  <c r="G57" i="15" s="1"/>
  <c r="F21" i="15"/>
  <c r="F31" i="15" l="1"/>
  <c r="H31" i="15" s="1"/>
  <c r="E40" i="15"/>
  <c r="E51" i="15" s="1"/>
  <c r="H45" i="15"/>
  <c r="F30" i="15"/>
  <c r="F39" i="15" s="1"/>
  <c r="F50" i="15" s="1"/>
  <c r="F56" i="15" s="1"/>
  <c r="F65" i="15" s="1"/>
  <c r="F72" i="15" s="1"/>
  <c r="D30" i="15"/>
  <c r="E30" i="15"/>
  <c r="E39" i="15" s="1"/>
  <c r="E50" i="15" s="1"/>
  <c r="G30" i="15"/>
  <c r="G39" i="15" s="1"/>
  <c r="G50" i="15" s="1"/>
  <c r="G56" i="15" s="1"/>
  <c r="H21" i="15"/>
  <c r="H37" i="15"/>
  <c r="H22" i="15"/>
  <c r="H38" i="15"/>
  <c r="H49" i="15"/>
  <c r="D40" i="15"/>
  <c r="E57" i="15" l="1"/>
  <c r="F79" i="15"/>
  <c r="E54" i="15"/>
  <c r="E56" i="15" s="1"/>
  <c r="H30" i="15"/>
  <c r="H39" i="15" s="1"/>
  <c r="H50" i="15" s="1"/>
  <c r="D39" i="15"/>
  <c r="D50" i="15" s="1"/>
  <c r="F40" i="15"/>
  <c r="F51" i="15" s="1"/>
  <c r="F57" i="15" s="1"/>
  <c r="D51" i="15"/>
  <c r="F66" i="15" l="1"/>
  <c r="F73" i="15" s="1"/>
  <c r="F80" i="15" s="1"/>
  <c r="F82" i="15" s="1"/>
  <c r="F83" i="15" s="1"/>
  <c r="F86" i="15" s="1"/>
  <c r="E63" i="15"/>
  <c r="E65" i="15" s="1"/>
  <c r="E72" i="15" s="1"/>
  <c r="E79" i="15" s="1"/>
  <c r="H55" i="15"/>
  <c r="E66" i="15"/>
  <c r="E73" i="15" s="1"/>
  <c r="E80" i="15" s="1"/>
  <c r="E82" i="15" s="1"/>
  <c r="H40" i="15"/>
  <c r="H53" i="15"/>
  <c r="H54" i="15" s="1"/>
  <c r="H56" i="15" s="1"/>
  <c r="D54" i="15"/>
  <c r="D59" i="15" s="1"/>
  <c r="H51" i="15"/>
  <c r="G63" i="15" l="1"/>
  <c r="D63" i="15"/>
  <c r="D56" i="15"/>
  <c r="D57" i="15"/>
  <c r="F88" i="15"/>
  <c r="E83" i="15"/>
  <c r="F89" i="15" l="1"/>
  <c r="F90" i="15" s="1"/>
  <c r="D64" i="15"/>
  <c r="D66" i="15" s="1"/>
  <c r="D65" i="15"/>
  <c r="D72" i="15" s="1"/>
  <c r="G66" i="15"/>
  <c r="H57" i="15"/>
  <c r="E86" i="15"/>
  <c r="E88" i="15" s="1"/>
  <c r="E89" i="15" s="1"/>
  <c r="E90" i="15" s="1"/>
  <c r="G65" i="15"/>
  <c r="H60" i="15"/>
  <c r="H59" i="15"/>
  <c r="H64" i="15" l="1"/>
  <c r="H66" i="15"/>
  <c r="G71" i="15" s="1"/>
  <c r="D79" i="15"/>
  <c r="H63" i="15"/>
  <c r="H65" i="15" s="1"/>
  <c r="G68" i="15" s="1"/>
  <c r="G73" i="15" l="1"/>
  <c r="G69" i="15"/>
  <c r="G70" i="15" s="1"/>
  <c r="D73" i="15"/>
  <c r="H77" i="15"/>
  <c r="G78" i="15"/>
  <c r="G77" i="15"/>
  <c r="G80" i="15" l="1"/>
  <c r="G82" i="15" s="1"/>
  <c r="G72" i="15"/>
  <c r="G79" i="15" s="1"/>
  <c r="H79" i="15" s="1"/>
  <c r="D80" i="15"/>
  <c r="H73" i="15"/>
  <c r="H78" i="15"/>
  <c r="H71" i="15"/>
  <c r="G83" i="15" l="1"/>
  <c r="D82" i="15"/>
  <c r="H82" i="15" s="1"/>
  <c r="H80" i="15"/>
  <c r="H72" i="15"/>
  <c r="G86" i="15" l="1"/>
  <c r="D83" i="15"/>
  <c r="D86" i="15" s="1"/>
  <c r="H86" i="15" l="1"/>
  <c r="G88" i="15"/>
  <c r="H83" i="15"/>
  <c r="D88" i="15" l="1"/>
  <c r="D89" i="15" s="1"/>
  <c r="H88" i="15" l="1"/>
  <c r="D90" i="15"/>
  <c r="G89" i="15" l="1"/>
  <c r="G90" i="15" l="1"/>
  <c r="H90" i="15" s="1"/>
  <c r="H89" i="15"/>
</calcChain>
</file>

<file path=xl/sharedStrings.xml><?xml version="1.0" encoding="utf-8"?>
<sst xmlns="http://schemas.openxmlformats.org/spreadsheetml/2006/main" count="129" uniqueCount="113">
  <si>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</si>
  <si>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</si>
  <si>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</si>
  <si>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</si>
  <si>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</si>
  <si>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</si>
  <si>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</si>
  <si>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</si>
  <si>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</si>
  <si>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</si>
  <si>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</si>
  <si>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</si>
  <si>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</si>
  <si>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ИТОГО ПО ГЛАВЕ 10</t>
  </si>
  <si>
    <t>ИТОГО ПО ГЛАВЕ 12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</si>
  <si>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</si>
  <si>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</si>
  <si>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</si>
  <si>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</si>
  <si>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</si>
  <si>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</si>
  <si>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</si>
  <si>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</si>
  <si>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Глава 8. Временные здания и сооружения</t>
  </si>
  <si>
    <t>ИТОГО ПО ГЛАВЕ 8</t>
  </si>
  <si>
    <t>Глава 1 Подготовка территории строительства</t>
  </si>
  <si>
    <t>ИТОГО ПО ГЛАВЕ 1</t>
  </si>
  <si>
    <t>ИТОГО ПО ГЛАВАМ 1-2</t>
  </si>
  <si>
    <t>ИТОГО ПО ГЛАВАМ 1-8</t>
  </si>
  <si>
    <t>01-02</t>
  </si>
  <si>
    <t>01-03</t>
  </si>
  <si>
    <t>02-03</t>
  </si>
  <si>
    <t>02-04</t>
  </si>
  <si>
    <t>01-04</t>
  </si>
  <si>
    <t>01-05</t>
  </si>
  <si>
    <t>РАЗБИВКА ОСЕЙ И ГАБАРИТОВ ПС</t>
  </si>
  <si>
    <t>РАСЧИСТКА ТЕРРИТОРИИ ОТ СНЕГА</t>
  </si>
  <si>
    <t>РАСЧИСТКА ТЕРРИТОРИИ ОТ ЛЕСА И КУСТАРНИКА</t>
  </si>
  <si>
    <t>ДЕМОНТАЖНЫЕ РАБОТЫ</t>
  </si>
  <si>
    <t>05-01</t>
  </si>
  <si>
    <t>05-02</t>
  </si>
  <si>
    <t>05-03</t>
  </si>
  <si>
    <t>05-04</t>
  </si>
  <si>
    <t>Глава 5. ОБЪЕКТЫ ТРАНСПОРТНОГО ХОЗЯЙСТВА И СВЯЗИ</t>
  </si>
  <si>
    <t xml:space="preserve">Глава 6. НАРУЖНЫЕ СЕТИ И СООРУЖЕНИЯ ВОДОСНАБЖЕНИЯ, КАНАЛИЗАЦИИ, ТЕПЛОСНАБЖЕНИЯ И ГАЗОСНАБЖЕНИЯ </t>
  </si>
  <si>
    <t>Глава 7. БЛАГОУСТРОЙСТВО И ОЗЕЛЕНЕНИЕ ТЕРРИТОРИИ</t>
  </si>
  <si>
    <t>ИТОГО ПО ГЛАВЕ 5</t>
  </si>
  <si>
    <t>ПРИОБРЕТЕНИЕ И МОНТАЖ ОБОРУДОВАНИЯ ТЕЛЕНАБЛЮДЕНИЯ</t>
  </si>
  <si>
    <t>ОХРАННО-ПОЖАРНАЯ СИГНАЛИЗАЦИЯ ПС</t>
  </si>
  <si>
    <t>МОНТАЖ СДТУ</t>
  </si>
  <si>
    <t>МОНТАЖ ЛИНИИ СВЯЗИ ВОК</t>
  </si>
  <si>
    <t>ИТОГО ПО ГЛАВАМ 1-7</t>
  </si>
  <si>
    <t>ИТОГО ПО ГЛАВЕ 6</t>
  </si>
  <si>
    <t>ИТОГО ПО ГЛАВЕ 7</t>
  </si>
  <si>
    <t>06-01</t>
  </si>
  <si>
    <t>06-02</t>
  </si>
  <si>
    <t>НАРУЖНЫЙ ВОДОПРОВОД</t>
  </si>
  <si>
    <t>НАРУЖНАЯ КАНАЛИЗАЦИЯ</t>
  </si>
  <si>
    <t>07-01</t>
  </si>
  <si>
    <t>БЛАГОУСТРОЙСТВО ТЕРРИТОРИИ</t>
  </si>
  <si>
    <t>год ввода</t>
  </si>
  <si>
    <t>дефлятор</t>
  </si>
  <si>
    <t>Сметная стоимость, руб.</t>
  </si>
  <si>
    <t>ИТОГО ПО ГЛАВАМ 1-5</t>
  </si>
  <si>
    <t>Индексы на 4 кв. 2012 года Письмо Минрегиона от 03.12.2012 №2836-ИП/12/ГС</t>
  </si>
  <si>
    <t>Индексы-дефляторы МЭР по строке "Капвложения" на 2019 год</t>
  </si>
  <si>
    <t>Коэффициент директивного снижения инвестиционных затрат в 2019 году (в соответствии с действующей методикой снижения затрат)</t>
  </si>
  <si>
    <t>М.Ю. Ефремова</t>
  </si>
  <si>
    <t>ИТОГО по Главам 1-2 в ценах 4кв.2012 года</t>
  </si>
  <si>
    <t>Итого по Главам 1-5 в ценах 4кв.2012 года</t>
  </si>
  <si>
    <t>Итого по Главе 5  в ценах 4 кв.2012 года</t>
  </si>
  <si>
    <t>Итого по Главе 6 в ценах 4 кв.2012 года</t>
  </si>
  <si>
    <t>Итого по Главе 2  в ценах 4 кв.2012 года</t>
  </si>
  <si>
    <t>Итого по Главе 1 в ценах 4 кв.2012 года</t>
  </si>
  <si>
    <t>Итого по Главе 7 в ценах 4 кв.2012 года</t>
  </si>
  <si>
    <t>Итого по Главам 1-7 в ценах 4кв.2012 года</t>
  </si>
  <si>
    <t>Итого по Главам 1-8 в ценах 4кв.2012 года</t>
  </si>
  <si>
    <t>Итого по Главе 9 в ценах 4 кв.2012 года</t>
  </si>
  <si>
    <t>Итого по Главам 1-9 в ценах 4кв.2012 года</t>
  </si>
  <si>
    <t>Итого по Главе 12 в ценах 4 кв.2012 года</t>
  </si>
  <si>
    <t>Итого по Главам 1-12 в ценах 4кв.2012 года</t>
  </si>
  <si>
    <t>Стоимость оборудования в ценах на период строительства в 2019 г.</t>
  </si>
  <si>
    <t>Е.В. Чаиркина</t>
  </si>
  <si>
    <t>Глава 10. Содержание дирекции (технического надзора) строящегося предприятия</t>
  </si>
  <si>
    <t>МДС 81-35.2004</t>
  </si>
  <si>
    <t>Содержание службы заказчика-застройщика (технического надзора) строительства 1,1%</t>
  </si>
  <si>
    <t>письмо №468 от 21.06.10г</t>
  </si>
  <si>
    <t>Затраты на осуществление строительного контроля 2,14%</t>
  </si>
  <si>
    <t>Итого по Главе 10 в ценах 4 кв.2012 года</t>
  </si>
  <si>
    <t>Итого по Главам 1-10 в ценах 4кв.2012 года</t>
  </si>
  <si>
    <t xml:space="preserve">Проектно-изыскательские работы </t>
  </si>
  <si>
    <t>Непредвиденные работы и затраты 3%</t>
  </si>
  <si>
    <t>Начальник Управления Капитального Строительства 
филиала ПАО "МРСК Северо-Запада" Карелэнерго</t>
  </si>
  <si>
    <t>Составил: инженер ОКС филиала ПАО "МРСК Северо-Запада" "Карелэнерго" ПО ЮКЭС</t>
  </si>
  <si>
    <t>А.С. Екимова</t>
  </si>
  <si>
    <t>Проверил: инженер ОКС филиала ПАО "МРСК Северо-Запада" "Карелэнерго"</t>
  </si>
  <si>
    <t>А.Ю. Журавский</t>
  </si>
  <si>
    <t>Согласовано: начальник ОКС филиала ПАО "МРСК Северо-Запада" "Карелэнерго"</t>
  </si>
  <si>
    <t>Составлен  в ценах 2000 г. с переход в 4 кв. 2012г.</t>
  </si>
  <si>
    <t>Канализация=6,26, водопровод=5,05</t>
  </si>
  <si>
    <t>Временные здания и сооружения 1,5%</t>
  </si>
  <si>
    <t>ГЭСН-81-05-002-2007, табл №4, п.4.5</t>
  </si>
  <si>
    <t>ГСН 81-05-02-2007 т.4 п.13.2</t>
  </si>
  <si>
    <t>СРЕДСТВА НА ДОПОЛНИТЕЛЬНЫЕ ЗАТРАТЫ ПРИ ПРОИЗВОДСТВЕ СТРОИТЕЛЬНЫХ И МОНТАЖНЫХ РАБОТ В ЗИМНЕЕ ВРЕМЯ 2,5%*1,2</t>
  </si>
  <si>
    <t>«Справочник базовых цен на проектные работы в строительстве «Коммунальные инженерные сети и сооружения», Приказ Минрегиона РФ от 24 мая 2012 года № 213 , табл№4 и №5</t>
  </si>
  <si>
    <t>Обор =3,55</t>
  </si>
  <si>
    <t>Укрупненный сметный расчет</t>
  </si>
  <si>
    <t>1</t>
  </si>
  <si>
    <t>2-1-1</t>
  </si>
  <si>
    <t>Локальная смета 2-1-1</t>
  </si>
  <si>
    <t xml:space="preserve">Стоимость оборудования в прогнозных  ценах 2019 года с учетом снижения (без НДС) </t>
  </si>
  <si>
    <t xml:space="preserve">Стоимость оборудования в прогнозных  ценах 2019 года с учетом снижения (с НДС) </t>
  </si>
  <si>
    <t>Сметный расчет по ИП I_000-33-2-06.10-0005  "Строительство сетей водоснабжения 0,435 км и водоотведения 0,012 км от здания ОПУ ПС-64 «Пряжа с установкой локальных очистных сооружений 1 комплект".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</si>
</sst>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9" formatCode="#,##0.00000"/>
    <numFmt numFmtId="172" formatCode="#,##0.00000000"/>
    <numFmt numFmtId="175" formatCode="0.0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8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u/>
      <sz val="9"/>
      <color indexed="8"/>
      <name val="Times New Roman"/>
      <family val="1"/>
      <charset val="204"/>
    </font>
    <font>
      <i/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4" fillId="0" borderId="1">
      <alignment horizontal="center" vertical="center"/>
    </xf>
    <xf numFmtId="0" fontId="4" fillId="0" borderId="1">
      <alignment horizontal="center" vertical="center"/>
    </xf>
    <xf numFmtId="0" fontId="5" fillId="0" borderId="0">
      <alignment horizontal="left" vertical="top"/>
    </xf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/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7">
      <alignment horizontal="left" vertical="top"/>
    </xf>
    <xf numFmtId="0" fontId="9" fillId="0" borderId="0">
      <alignment horizontal="center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center" vertical="center"/>
    </xf>
    <xf numFmtId="0" fontId="11" fillId="0" borderId="0">
      <alignment horizontal="left" vertical="top"/>
    </xf>
    <xf numFmtId="0" fontId="9" fillId="0" borderId="0">
      <alignment horizontal="left" vertical="top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6" fillId="0" borderId="1">
      <alignment horizontal="center" vertical="center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12" fillId="0" borderId="7">
      <alignment horizontal="left" vertical="top"/>
    </xf>
    <xf numFmtId="0" fontId="6" fillId="0" borderId="0">
      <alignment horizontal="righ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7">
      <alignment horizontal="left" vertical="top"/>
    </xf>
    <xf numFmtId="0" fontId="13" fillId="0" borderId="0">
      <alignment horizontal="right" vertical="top"/>
    </xf>
    <xf numFmtId="0" fontId="13" fillId="0" borderId="0">
      <alignment horizontal="left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9" fillId="0" borderId="7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 vertical="top"/>
    </xf>
    <xf numFmtId="0" fontId="9" fillId="0" borderId="7">
      <alignment horizontal="left"/>
    </xf>
    <xf numFmtId="0" fontId="14" fillId="0" borderId="0">
      <alignment horizontal="left" vertical="top"/>
    </xf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250">
    <xf numFmtId="0" fontId="0" fillId="0" borderId="0" xfId="0"/>
    <xf numFmtId="4" fontId="21" fillId="0" borderId="11" xfId="34" applyNumberFormat="1" applyFont="1" applyFill="1" applyBorder="1" applyAlignment="1">
      <alignment horizontal="center" vertical="center" wrapText="1"/>
    </xf>
    <xf numFmtId="4" fontId="21" fillId="0" borderId="1" xfId="34" applyNumberFormat="1" applyFont="1" applyFill="1" applyBorder="1" applyAlignment="1">
      <alignment horizontal="center" vertical="center" wrapText="1"/>
    </xf>
    <xf numFmtId="4" fontId="21" fillId="0" borderId="12" xfId="34" applyNumberFormat="1" applyFont="1" applyFill="1" applyBorder="1" applyAlignment="1">
      <alignment horizontal="center" vertical="center" wrapText="1"/>
    </xf>
    <xf numFmtId="4" fontId="21" fillId="0" borderId="3" xfId="34" applyNumberFormat="1" applyFont="1" applyFill="1" applyBorder="1" applyAlignment="1">
      <alignment horizontal="center" vertical="center" wrapText="1"/>
    </xf>
    <xf numFmtId="4" fontId="21" fillId="0" borderId="4" xfId="34" applyNumberFormat="1" applyFont="1" applyFill="1" applyBorder="1" applyAlignment="1">
      <alignment horizontal="center" vertical="center" wrapText="1"/>
    </xf>
    <xf numFmtId="4" fontId="21" fillId="0" borderId="28" xfId="34" applyNumberFormat="1" applyFont="1" applyFill="1" applyBorder="1" applyAlignment="1">
      <alignment horizontal="center" vertical="center" wrapText="1"/>
    </xf>
    <xf numFmtId="4" fontId="21" fillId="0" borderId="11" xfId="38" applyNumberFormat="1" applyFont="1" applyFill="1" applyBorder="1" applyAlignment="1">
      <alignment horizontal="center" vertical="center" wrapText="1"/>
    </xf>
    <xf numFmtId="4" fontId="21" fillId="0" borderId="1" xfId="38" applyNumberFormat="1" applyFont="1" applyFill="1" applyBorder="1" applyAlignment="1">
      <alignment horizontal="center" vertical="center" wrapText="1"/>
    </xf>
    <xf numFmtId="4" fontId="22" fillId="0" borderId="1" xfId="38" applyNumberFormat="1" applyFont="1" applyFill="1" applyBorder="1" applyAlignment="1">
      <alignment horizontal="center" vertical="center" wrapText="1"/>
    </xf>
    <xf numFmtId="4" fontId="21" fillId="0" borderId="12" xfId="38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31" xfId="24" quotePrefix="1" applyFont="1" applyFill="1" applyBorder="1" applyAlignment="1">
      <alignment horizontal="center" vertical="center" wrapText="1"/>
    </xf>
    <xf numFmtId="0" fontId="19" fillId="0" borderId="32" xfId="24" quotePrefix="1" applyFont="1" applyFill="1" applyBorder="1" applyAlignment="1">
      <alignment horizontal="center" vertical="center" wrapText="1"/>
    </xf>
    <xf numFmtId="0" fontId="19" fillId="0" borderId="38" xfId="24" quotePrefix="1" applyFont="1" applyFill="1" applyBorder="1" applyAlignment="1">
      <alignment horizontal="center" vertical="center" wrapText="1"/>
    </xf>
    <xf numFmtId="0" fontId="19" fillId="0" borderId="36" xfId="23" quotePrefix="1" applyFont="1" applyFill="1" applyBorder="1" applyAlignment="1">
      <alignment horizontal="center" vertical="center" wrapText="1"/>
    </xf>
    <xf numFmtId="0" fontId="21" fillId="0" borderId="31" xfId="25" applyNumberFormat="1" applyFont="1" applyFill="1" applyBorder="1" applyAlignment="1">
      <alignment horizontal="center" vertical="center" wrapText="1"/>
    </xf>
    <xf numFmtId="0" fontId="21" fillId="0" borderId="32" xfId="26" applyNumberFormat="1" applyFont="1" applyFill="1" applyBorder="1" applyAlignment="1">
      <alignment horizontal="center" vertical="center" wrapText="1"/>
    </xf>
    <xf numFmtId="0" fontId="21" fillId="0" borderId="33" xfId="27" applyNumberFormat="1" applyFont="1" applyFill="1" applyBorder="1" applyAlignment="1">
      <alignment horizontal="center" vertical="center" wrapText="1"/>
    </xf>
    <xf numFmtId="0" fontId="21" fillId="0" borderId="31" xfId="28" applyNumberFormat="1" applyFont="1" applyFill="1" applyBorder="1" applyAlignment="1">
      <alignment horizontal="center" vertical="center" wrapText="1"/>
    </xf>
    <xf numFmtId="0" fontId="21" fillId="0" borderId="32" xfId="28" applyNumberFormat="1" applyFont="1" applyFill="1" applyBorder="1" applyAlignment="1">
      <alignment horizontal="center" vertical="center" wrapText="1"/>
    </xf>
    <xf numFmtId="0" fontId="21" fillId="0" borderId="33" xfId="28" applyNumberFormat="1" applyFont="1" applyFill="1" applyBorder="1" applyAlignment="1">
      <alignment horizontal="center" vertical="center" wrapText="1"/>
    </xf>
    <xf numFmtId="0" fontId="21" fillId="0" borderId="30" xfId="29" applyNumberFormat="1" applyFont="1" applyFill="1" applyBorder="1" applyAlignment="1">
      <alignment horizontal="center" vertical="center" wrapText="1"/>
    </xf>
    <xf numFmtId="0" fontId="22" fillId="0" borderId="48" xfId="31" applyNumberFormat="1" applyFont="1" applyFill="1" applyBorder="1" applyAlignment="1">
      <alignment horizontal="center" vertical="top" wrapText="1"/>
    </xf>
    <xf numFmtId="49" fontId="21" fillId="0" borderId="1" xfId="32" quotePrefix="1" applyNumberFormat="1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22" fillId="0" borderId="14" xfId="35" applyNumberFormat="1" applyFont="1" applyFill="1" applyBorder="1" applyAlignment="1">
      <alignment horizontal="center" vertical="top" wrapText="1"/>
    </xf>
    <xf numFmtId="0" fontId="22" fillId="0" borderId="15" xfId="36" quotePrefix="1" applyFont="1" applyFill="1" applyBorder="1" applyAlignment="1">
      <alignment horizontal="left" vertical="top" wrapText="1"/>
    </xf>
    <xf numFmtId="4" fontId="22" fillId="0" borderId="51" xfId="38" applyNumberFormat="1" applyFont="1" applyFill="1" applyBorder="1" applyAlignment="1">
      <alignment horizontal="center" vertical="center" wrapText="1"/>
    </xf>
    <xf numFmtId="4" fontId="22" fillId="0" borderId="15" xfId="38" applyNumberFormat="1" applyFont="1" applyFill="1" applyBorder="1" applyAlignment="1">
      <alignment horizontal="center" vertical="center" wrapText="1"/>
    </xf>
    <xf numFmtId="0" fontId="22" fillId="0" borderId="3" xfId="30" quotePrefix="1" applyFont="1" applyFill="1" applyBorder="1" applyAlignment="1">
      <alignment horizontal="center" vertical="center" wrapText="1"/>
    </xf>
    <xf numFmtId="49" fontId="21" fillId="0" borderId="4" xfId="32" quotePrefix="1" applyNumberFormat="1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2" fontId="21" fillId="0" borderId="3" xfId="30" quotePrefix="1" applyNumberFormat="1" applyFont="1" applyFill="1" applyBorder="1" applyAlignment="1">
      <alignment horizontal="center" vertical="center" wrapText="1"/>
    </xf>
    <xf numFmtId="2" fontId="21" fillId="0" borderId="4" xfId="30" quotePrefix="1" applyNumberFormat="1" applyFont="1" applyFill="1" applyBorder="1" applyAlignment="1">
      <alignment horizontal="center" vertical="center" wrapText="1"/>
    </xf>
    <xf numFmtId="0" fontId="22" fillId="0" borderId="11" xfId="30" quotePrefix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2" fontId="21" fillId="0" borderId="11" xfId="30" quotePrefix="1" applyNumberFormat="1" applyFont="1" applyFill="1" applyBorder="1" applyAlignment="1">
      <alignment horizontal="center" vertical="center" wrapText="1"/>
    </xf>
    <xf numFmtId="2" fontId="21" fillId="0" borderId="1" xfId="30" quotePrefix="1" applyNumberFormat="1" applyFont="1" applyFill="1" applyBorder="1" applyAlignment="1">
      <alignment horizontal="center" vertical="center" wrapText="1"/>
    </xf>
    <xf numFmtId="0" fontId="22" fillId="0" borderId="47" xfId="35" applyNumberFormat="1" applyFont="1" applyFill="1" applyBorder="1" applyAlignment="1">
      <alignment horizontal="center" vertical="center" wrapText="1"/>
    </xf>
    <xf numFmtId="49" fontId="22" fillId="0" borderId="5" xfId="32" quotePrefix="1" applyNumberFormat="1" applyFont="1" applyFill="1" applyBorder="1" applyAlignment="1">
      <alignment horizontal="center" vertical="center" wrapText="1"/>
    </xf>
    <xf numFmtId="2" fontId="22" fillId="0" borderId="53" xfId="38" applyNumberFormat="1" applyFont="1" applyFill="1" applyBorder="1" applyAlignment="1">
      <alignment horizontal="center" vertical="center" wrapText="1"/>
    </xf>
    <xf numFmtId="2" fontId="22" fillId="0" borderId="1" xfId="38" applyNumberFormat="1" applyFont="1" applyFill="1" applyBorder="1" applyAlignment="1">
      <alignment horizontal="center" vertical="center" wrapText="1"/>
    </xf>
    <xf numFmtId="2" fontId="22" fillId="0" borderId="54" xfId="38" applyNumberFormat="1" applyFont="1" applyFill="1" applyBorder="1" applyAlignment="1">
      <alignment horizontal="center" vertical="center" wrapText="1"/>
    </xf>
    <xf numFmtId="0" fontId="22" fillId="0" borderId="14" xfId="35" applyNumberFormat="1" applyFont="1" applyFill="1" applyBorder="1" applyAlignment="1">
      <alignment horizontal="center" vertical="center" wrapText="1"/>
    </xf>
    <xf numFmtId="49" fontId="22" fillId="0" borderId="15" xfId="32" quotePrefix="1" applyNumberFormat="1" applyFont="1" applyFill="1" applyBorder="1" applyAlignment="1">
      <alignment horizontal="center" vertical="center" wrapText="1"/>
    </xf>
    <xf numFmtId="0" fontId="20" fillId="0" borderId="17" xfId="37" quotePrefix="1" applyFont="1" applyFill="1" applyBorder="1" applyAlignment="1">
      <alignment horizontal="left" vertical="top" wrapText="1"/>
    </xf>
    <xf numFmtId="2" fontId="20" fillId="0" borderId="15" xfId="38" applyNumberFormat="1" applyFont="1" applyFill="1" applyBorder="1" applyAlignment="1">
      <alignment horizontal="center" vertical="center" wrapText="1"/>
    </xf>
    <xf numFmtId="2" fontId="20" fillId="0" borderId="16" xfId="38" applyNumberFormat="1" applyFont="1" applyFill="1" applyBorder="1" applyAlignment="1">
      <alignment horizontal="center" vertical="center" wrapText="1"/>
    </xf>
    <xf numFmtId="0" fontId="22" fillId="0" borderId="47" xfId="30" quotePrefix="1" applyFont="1" applyFill="1" applyBorder="1" applyAlignment="1">
      <alignment horizontal="center" vertical="center" wrapText="1"/>
    </xf>
    <xf numFmtId="49" fontId="21" fillId="0" borderId="5" xfId="32" quotePrefix="1" applyNumberFormat="1" applyFont="1" applyFill="1" applyBorder="1" applyAlignment="1">
      <alignment horizontal="left" vertical="center" wrapText="1"/>
    </xf>
    <xf numFmtId="2" fontId="22" fillId="0" borderId="53" xfId="30" quotePrefix="1" applyNumberFormat="1" applyFont="1" applyFill="1" applyBorder="1" applyAlignment="1">
      <alignment horizontal="center" vertical="center" wrapText="1"/>
    </xf>
    <xf numFmtId="2" fontId="22" fillId="0" borderId="5" xfId="30" quotePrefix="1" applyNumberFormat="1" applyFont="1" applyFill="1" applyBorder="1" applyAlignment="1">
      <alignment horizontal="center" vertical="center" wrapText="1"/>
    </xf>
    <xf numFmtId="2" fontId="22" fillId="0" borderId="51" xfId="38" applyNumberFormat="1" applyFont="1" applyFill="1" applyBorder="1" applyAlignment="1">
      <alignment horizontal="center" vertical="center" wrapText="1"/>
    </xf>
    <xf numFmtId="2" fontId="22" fillId="0" borderId="15" xfId="38" applyNumberFormat="1" applyFont="1" applyFill="1" applyBorder="1" applyAlignment="1">
      <alignment horizontal="center" vertical="center" wrapText="1"/>
    </xf>
    <xf numFmtId="2" fontId="22" fillId="0" borderId="52" xfId="38" applyNumberFormat="1" applyFont="1" applyFill="1" applyBorder="1" applyAlignment="1">
      <alignment horizontal="center" vertical="center" wrapText="1"/>
    </xf>
    <xf numFmtId="0" fontId="22" fillId="0" borderId="48" xfId="30" quotePrefix="1" applyFont="1" applyFill="1" applyBorder="1" applyAlignment="1">
      <alignment horizontal="center" vertical="center" wrapText="1"/>
    </xf>
    <xf numFmtId="49" fontId="21" fillId="0" borderId="2" xfId="32" quotePrefix="1" applyNumberFormat="1" applyFont="1" applyFill="1" applyBorder="1" applyAlignment="1">
      <alignment horizontal="left" vertical="center" wrapText="1"/>
    </xf>
    <xf numFmtId="0" fontId="23" fillId="0" borderId="44" xfId="0" applyFont="1" applyFill="1" applyBorder="1" applyAlignment="1">
      <alignment horizontal="left" vertical="center" wrapText="1"/>
    </xf>
    <xf numFmtId="2" fontId="20" fillId="0" borderId="51" xfId="38" applyNumberFormat="1" applyFont="1" applyFill="1" applyBorder="1" applyAlignment="1">
      <alignment horizontal="center" vertical="center" wrapText="1"/>
    </xf>
    <xf numFmtId="2" fontId="20" fillId="0" borderId="52" xfId="38" applyNumberFormat="1" applyFont="1" applyFill="1" applyBorder="1" applyAlignment="1">
      <alignment horizontal="center" vertical="center" wrapText="1"/>
    </xf>
    <xf numFmtId="0" fontId="21" fillId="0" borderId="5" xfId="36" quotePrefix="1" applyFont="1" applyFill="1" applyBorder="1" applyAlignment="1">
      <alignment horizontal="left" vertical="top" wrapText="1"/>
    </xf>
    <xf numFmtId="4" fontId="21" fillId="0" borderId="53" xfId="38" applyNumberFormat="1" applyFont="1" applyFill="1" applyBorder="1" applyAlignment="1">
      <alignment horizontal="center" vertical="center" wrapText="1"/>
    </xf>
    <xf numFmtId="2" fontId="20" fillId="0" borderId="17" xfId="38" applyNumberFormat="1" applyFont="1" applyFill="1" applyBorder="1" applyAlignment="1">
      <alignment horizontal="center" vertical="center" wrapText="1"/>
    </xf>
    <xf numFmtId="0" fontId="22" fillId="0" borderId="3" xfId="35" applyNumberFormat="1" applyFont="1" applyFill="1" applyBorder="1" applyAlignment="1">
      <alignment horizontal="center" vertical="center" wrapText="1"/>
    </xf>
    <xf numFmtId="4" fontId="21" fillId="0" borderId="23" xfId="38" applyNumberFormat="1" applyFont="1" applyFill="1" applyBorder="1" applyAlignment="1">
      <alignment horizontal="center" vertical="center" wrapText="1"/>
    </xf>
    <xf numFmtId="4" fontId="21" fillId="0" borderId="4" xfId="38" applyNumberFormat="1" applyFont="1" applyFill="1" applyBorder="1" applyAlignment="1">
      <alignment horizontal="center" vertical="center" wrapText="1"/>
    </xf>
    <xf numFmtId="165" fontId="21" fillId="0" borderId="4" xfId="38" applyNumberFormat="1" applyFont="1" applyFill="1" applyBorder="1" applyAlignment="1">
      <alignment horizontal="center" vertical="center" wrapText="1"/>
    </xf>
    <xf numFmtId="4" fontId="21" fillId="0" borderId="28" xfId="38" applyNumberFormat="1" applyFont="1" applyFill="1" applyBorder="1" applyAlignment="1">
      <alignment horizontal="center" vertical="center" wrapText="1"/>
    </xf>
    <xf numFmtId="0" fontId="22" fillId="0" borderId="11" xfId="35" applyNumberFormat="1" applyFont="1" applyFill="1" applyBorder="1" applyAlignment="1">
      <alignment horizontal="center" vertical="center" wrapText="1"/>
    </xf>
    <xf numFmtId="4" fontId="21" fillId="0" borderId="8" xfId="38" applyNumberFormat="1" applyFont="1" applyFill="1" applyBorder="1" applyAlignment="1">
      <alignment horizontal="center" vertical="center" wrapText="1"/>
    </xf>
    <xf numFmtId="165" fontId="21" fillId="0" borderId="1" xfId="38" applyNumberFormat="1" applyFont="1" applyFill="1" applyBorder="1" applyAlignment="1">
      <alignment horizontal="center" vertical="center" wrapText="1"/>
    </xf>
    <xf numFmtId="165" fontId="21" fillId="0" borderId="11" xfId="38" applyNumberFormat="1" applyFont="1" applyFill="1" applyBorder="1" applyAlignment="1">
      <alignment horizontal="center" vertical="center" wrapText="1"/>
    </xf>
    <xf numFmtId="0" fontId="22" fillId="0" borderId="11" xfId="35" applyFont="1" applyFill="1" applyBorder="1" applyAlignment="1">
      <alignment horizontal="center" vertical="center" wrapText="1"/>
    </xf>
    <xf numFmtId="49" fontId="21" fillId="0" borderId="1" xfId="36" quotePrefix="1" applyNumberFormat="1" applyFont="1" applyFill="1" applyBorder="1" applyAlignment="1">
      <alignment horizontal="left" vertical="center" wrapText="1"/>
    </xf>
    <xf numFmtId="4" fontId="21" fillId="0" borderId="43" xfId="38" applyNumberFormat="1" applyFont="1" applyFill="1" applyBorder="1" applyAlignment="1">
      <alignment horizontal="center" vertical="center" wrapText="1"/>
    </xf>
    <xf numFmtId="0" fontId="22" fillId="0" borderId="14" xfId="35" applyFont="1" applyFill="1" applyBorder="1" applyAlignment="1">
      <alignment horizontal="center" vertical="center" wrapText="1"/>
    </xf>
    <xf numFmtId="49" fontId="21" fillId="0" borderId="15" xfId="36" quotePrefix="1" applyNumberFormat="1" applyFont="1" applyFill="1" applyBorder="1" applyAlignment="1">
      <alignment horizontal="left" vertical="center" wrapText="1"/>
    </xf>
    <xf numFmtId="0" fontId="22" fillId="0" borderId="17" xfId="40" quotePrefix="1" applyFont="1" applyFill="1" applyBorder="1" applyAlignment="1">
      <alignment horizontal="left" vertical="center" wrapText="1"/>
    </xf>
    <xf numFmtId="4" fontId="22" fillId="0" borderId="14" xfId="38" applyNumberFormat="1" applyFont="1" applyFill="1" applyBorder="1" applyAlignment="1">
      <alignment horizontal="center" vertical="center" wrapText="1"/>
    </xf>
    <xf numFmtId="4" fontId="22" fillId="0" borderId="16" xfId="38" applyNumberFormat="1" applyFont="1" applyFill="1" applyBorder="1" applyAlignment="1">
      <alignment horizontal="center" vertical="center" wrapText="1"/>
    </xf>
    <xf numFmtId="4" fontId="22" fillId="0" borderId="35" xfId="30" quotePrefix="1" applyNumberFormat="1" applyFont="1" applyFill="1" applyBorder="1" applyAlignment="1">
      <alignment horizontal="left" vertical="top" wrapText="1"/>
    </xf>
    <xf numFmtId="4" fontId="22" fillId="0" borderId="0" xfId="30" quotePrefix="1" applyNumberFormat="1" applyFont="1" applyFill="1" applyBorder="1" applyAlignment="1">
      <alignment horizontal="left" vertical="top" wrapText="1"/>
    </xf>
    <xf numFmtId="4" fontId="22" fillId="0" borderId="10" xfId="30" quotePrefix="1" applyNumberFormat="1" applyFont="1" applyFill="1" applyBorder="1" applyAlignment="1">
      <alignment horizontal="left" vertical="top" wrapText="1"/>
    </xf>
    <xf numFmtId="0" fontId="21" fillId="0" borderId="1" xfId="36" quotePrefix="1" applyFont="1" applyFill="1" applyBorder="1" applyAlignment="1">
      <alignment horizontal="left" vertical="top" wrapText="1"/>
    </xf>
    <xf numFmtId="0" fontId="21" fillId="0" borderId="12" xfId="37" quotePrefix="1" applyFont="1" applyFill="1" applyBorder="1" applyAlignment="1">
      <alignment horizontal="left" vertical="center" wrapText="1"/>
    </xf>
    <xf numFmtId="4" fontId="21" fillId="0" borderId="9" xfId="38" applyNumberFormat="1" applyFont="1" applyFill="1" applyBorder="1" applyAlignment="1">
      <alignment horizontal="center" vertical="center" wrapText="1"/>
    </xf>
    <xf numFmtId="0" fontId="21" fillId="0" borderId="15" xfId="36" quotePrefix="1" applyFont="1" applyFill="1" applyBorder="1" applyAlignment="1">
      <alignment horizontal="left" vertical="top" wrapText="1"/>
    </xf>
    <xf numFmtId="0" fontId="22" fillId="0" borderId="16" xfId="42" quotePrefix="1" applyFont="1" applyFill="1" applyBorder="1" applyAlignment="1">
      <alignment horizontal="left" vertical="center" wrapText="1"/>
    </xf>
    <xf numFmtId="0" fontId="21" fillId="0" borderId="4" xfId="43" quotePrefix="1" applyFont="1" applyFill="1" applyBorder="1" applyAlignment="1">
      <alignment horizontal="left" vertical="center" wrapText="1"/>
    </xf>
    <xf numFmtId="0" fontId="21" fillId="0" borderId="13" xfId="37" quotePrefix="1" applyFont="1" applyFill="1" applyBorder="1" applyAlignment="1">
      <alignment horizontal="left" vertical="center" wrapText="1"/>
    </xf>
    <xf numFmtId="4" fontId="21" fillId="0" borderId="3" xfId="38" applyNumberFormat="1" applyFont="1" applyFill="1" applyBorder="1" applyAlignment="1">
      <alignment horizontal="center" vertical="center" wrapText="1"/>
    </xf>
    <xf numFmtId="0" fontId="21" fillId="0" borderId="1" xfId="36" quotePrefix="1" applyFont="1" applyFill="1" applyBorder="1" applyAlignment="1">
      <alignment horizontal="left" vertical="center" wrapText="1"/>
    </xf>
    <xf numFmtId="0" fontId="22" fillId="0" borderId="9" xfId="37" quotePrefix="1" applyFont="1" applyFill="1" applyBorder="1" applyAlignment="1">
      <alignment horizontal="left" vertical="center" wrapText="1"/>
    </xf>
    <xf numFmtId="0" fontId="21" fillId="0" borderId="5" xfId="36" quotePrefix="1" applyFont="1" applyFill="1" applyBorder="1" applyAlignment="1">
      <alignment horizontal="left" vertical="center" wrapText="1"/>
    </xf>
    <xf numFmtId="0" fontId="22" fillId="0" borderId="45" xfId="37" quotePrefix="1" applyFont="1" applyFill="1" applyBorder="1" applyAlignment="1">
      <alignment horizontal="left" vertical="center" wrapText="1"/>
    </xf>
    <xf numFmtId="0" fontId="22" fillId="0" borderId="1" xfId="45" quotePrefix="1" applyFont="1" applyFill="1" applyBorder="1" applyAlignment="1">
      <alignment horizontal="right" vertical="center" wrapText="1"/>
    </xf>
    <xf numFmtId="0" fontId="15" fillId="0" borderId="0" xfId="0" applyFont="1" applyFill="1"/>
    <xf numFmtId="4" fontId="22" fillId="0" borderId="52" xfId="38" applyNumberFormat="1" applyFont="1" applyFill="1" applyBorder="1" applyAlignment="1">
      <alignment horizontal="center" vertical="center" wrapText="1"/>
    </xf>
    <xf numFmtId="4" fontId="21" fillId="0" borderId="55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center" wrapText="1"/>
    </xf>
    <xf numFmtId="0" fontId="21" fillId="0" borderId="13" xfId="33" quotePrefix="1" applyFont="1" applyFill="1" applyBorder="1" applyAlignment="1">
      <alignment horizontal="left" vertical="center" wrapText="1"/>
    </xf>
    <xf numFmtId="4" fontId="21" fillId="0" borderId="54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top" wrapText="1"/>
    </xf>
    <xf numFmtId="0" fontId="23" fillId="0" borderId="28" xfId="0" applyFont="1" applyFill="1" applyBorder="1" applyAlignment="1">
      <alignment horizontal="left" vertical="center" wrapText="1"/>
    </xf>
    <xf numFmtId="0" fontId="22" fillId="0" borderId="16" xfId="37" quotePrefix="1" applyFont="1" applyFill="1" applyBorder="1" applyAlignment="1">
      <alignment horizontal="left" vertical="center" wrapText="1"/>
    </xf>
    <xf numFmtId="0" fontId="22" fillId="0" borderId="45" xfId="37" quotePrefix="1" applyFont="1" applyFill="1" applyBorder="1" applyAlignment="1">
      <alignment horizontal="left" vertical="top" wrapText="1"/>
    </xf>
    <xf numFmtId="0" fontId="16" fillId="0" borderId="45" xfId="0" quotePrefix="1" applyFont="1" applyFill="1" applyBorder="1" applyAlignment="1">
      <alignment horizontal="left" vertical="center" wrapText="1"/>
    </xf>
    <xf numFmtId="4" fontId="22" fillId="0" borderId="47" xfId="38" applyNumberFormat="1" applyFont="1" applyFill="1" applyBorder="1" applyAlignment="1">
      <alignment horizontal="center" vertical="center" wrapText="1"/>
    </xf>
    <xf numFmtId="4" fontId="22" fillId="0" borderId="5" xfId="38" applyNumberFormat="1" applyFont="1" applyFill="1" applyBorder="1" applyAlignment="1">
      <alignment horizontal="center" vertical="center" wrapText="1"/>
    </xf>
    <xf numFmtId="0" fontId="22" fillId="0" borderId="1" xfId="30" quotePrefix="1" applyFont="1" applyFill="1" applyBorder="1" applyAlignment="1">
      <alignment horizontal="left" vertical="center" wrapText="1"/>
    </xf>
    <xf numFmtId="4" fontId="22" fillId="0" borderId="1" xfId="30" quotePrefix="1" applyNumberFormat="1" applyFont="1" applyFill="1" applyBorder="1" applyAlignment="1">
      <alignment horizontal="left" vertical="top" wrapText="1"/>
    </xf>
    <xf numFmtId="4" fontId="21" fillId="0" borderId="27" xfId="38" applyNumberFormat="1" applyFont="1" applyFill="1" applyBorder="1" applyAlignment="1">
      <alignment horizontal="center" vertical="center" wrapText="1"/>
    </xf>
    <xf numFmtId="0" fontId="22" fillId="0" borderId="34" xfId="35" applyNumberFormat="1" applyFont="1" applyFill="1" applyBorder="1" applyAlignment="1">
      <alignment horizontal="center" vertical="top" wrapText="1"/>
    </xf>
    <xf numFmtId="2" fontId="22" fillId="0" borderId="5" xfId="38" applyNumberFormat="1" applyFont="1" applyFill="1" applyBorder="1" applyAlignment="1">
      <alignment horizontal="center" vertical="center" wrapText="1"/>
    </xf>
    <xf numFmtId="0" fontId="20" fillId="0" borderId="33" xfId="37" quotePrefix="1" applyFont="1" applyFill="1" applyBorder="1" applyAlignment="1">
      <alignment horizontal="left" vertical="top" wrapText="1"/>
    </xf>
    <xf numFmtId="2" fontId="20" fillId="0" borderId="31" xfId="38" applyNumberFormat="1" applyFont="1" applyFill="1" applyBorder="1" applyAlignment="1">
      <alignment horizontal="center" vertical="center" wrapText="1"/>
    </xf>
    <xf numFmtId="2" fontId="20" fillId="0" borderId="32" xfId="38" applyNumberFormat="1" applyFont="1" applyFill="1" applyBorder="1" applyAlignment="1">
      <alignment horizontal="center" vertical="center" wrapText="1"/>
    </xf>
    <xf numFmtId="2" fontId="21" fillId="0" borderId="27" xfId="62" applyNumberFormat="1" applyFont="1" applyFill="1" applyBorder="1" applyAlignment="1">
      <alignment horizontal="center" vertical="center" wrapText="1"/>
    </xf>
    <xf numFmtId="2" fontId="22" fillId="0" borderId="1" xfId="34" applyNumberFormat="1" applyFont="1" applyFill="1" applyBorder="1" applyAlignment="1">
      <alignment horizontal="center" vertical="center" wrapText="1"/>
    </xf>
    <xf numFmtId="0" fontId="22" fillId="2" borderId="40" xfId="36" quotePrefix="1" applyFont="1" applyFill="1" applyBorder="1" applyAlignment="1">
      <alignment horizontal="left" vertical="top" wrapText="1"/>
    </xf>
    <xf numFmtId="0" fontId="25" fillId="2" borderId="41" xfId="37" quotePrefix="1" applyFont="1" applyFill="1" applyBorder="1" applyAlignment="1">
      <alignment horizontal="right" vertical="center" wrapText="1"/>
    </xf>
    <xf numFmtId="2" fontId="26" fillId="2" borderId="41" xfId="38" applyNumberFormat="1" applyFont="1" applyFill="1" applyBorder="1" applyAlignment="1">
      <alignment horizontal="center" vertical="center" wrapText="1"/>
    </xf>
    <xf numFmtId="2" fontId="26" fillId="2" borderId="38" xfId="38" applyNumberFormat="1" applyFont="1" applyFill="1" applyBorder="1" applyAlignment="1">
      <alignment horizontal="center" vertical="center" wrapText="1"/>
    </xf>
    <xf numFmtId="2" fontId="27" fillId="2" borderId="30" xfId="62" applyNumberFormat="1" applyFont="1" applyFill="1" applyBorder="1" applyAlignment="1">
      <alignment horizontal="center" vertical="center" wrapText="1"/>
    </xf>
    <xf numFmtId="0" fontId="22" fillId="2" borderId="47" xfId="35" applyNumberFormat="1" applyFont="1" applyFill="1" applyBorder="1" applyAlignment="1">
      <alignment horizontal="center" vertical="center" wrapText="1"/>
    </xf>
    <xf numFmtId="49" fontId="22" fillId="2" borderId="45" xfId="32" quotePrefix="1" applyNumberFormat="1" applyFont="1" applyFill="1" applyBorder="1" applyAlignment="1">
      <alignment horizontal="center" vertical="center" wrapText="1"/>
    </xf>
    <xf numFmtId="2" fontId="25" fillId="2" borderId="38" xfId="38" applyNumberFormat="1" applyFont="1" applyFill="1" applyBorder="1" applyAlignment="1">
      <alignment horizontal="center" vertical="center" wrapText="1"/>
    </xf>
    <xf numFmtId="2" fontId="29" fillId="2" borderId="30" xfId="62" applyNumberFormat="1" applyFont="1" applyFill="1" applyBorder="1" applyAlignment="1">
      <alignment horizontal="center" vertical="center" wrapText="1"/>
    </xf>
    <xf numFmtId="0" fontId="22" fillId="2" borderId="34" xfId="35" applyNumberFormat="1" applyFont="1" applyFill="1" applyBorder="1" applyAlignment="1">
      <alignment horizontal="center" vertical="center" wrapText="1"/>
    </xf>
    <xf numFmtId="49" fontId="22" fillId="2" borderId="40" xfId="32" quotePrefix="1" applyNumberFormat="1" applyFont="1" applyFill="1" applyBorder="1" applyAlignment="1">
      <alignment horizontal="center" vertical="center" wrapText="1"/>
    </xf>
    <xf numFmtId="0" fontId="28" fillId="2" borderId="40" xfId="37" quotePrefix="1" applyFont="1" applyFill="1" applyBorder="1" applyAlignment="1">
      <alignment horizontal="right" vertical="top" wrapText="1"/>
    </xf>
    <xf numFmtId="2" fontId="28" fillId="2" borderId="34" xfId="38" applyNumberFormat="1" applyFont="1" applyFill="1" applyBorder="1" applyAlignment="1">
      <alignment horizontal="center" vertical="center" wrapText="1"/>
    </xf>
    <xf numFmtId="2" fontId="29" fillId="2" borderId="27" xfId="62" applyNumberFormat="1" applyFont="1" applyFill="1" applyBorder="1" applyAlignment="1">
      <alignment horizontal="center" vertical="center" wrapText="1"/>
    </xf>
    <xf numFmtId="0" fontId="22" fillId="2" borderId="47" xfId="30" quotePrefix="1" applyFont="1" applyFill="1" applyBorder="1" applyAlignment="1">
      <alignment horizontal="center" vertical="center" wrapText="1"/>
    </xf>
    <xf numFmtId="49" fontId="21" fillId="2" borderId="5" xfId="32" quotePrefix="1" applyNumberFormat="1" applyFont="1" applyFill="1" applyBorder="1" applyAlignment="1">
      <alignment horizontal="left" vertical="center" wrapText="1"/>
    </xf>
    <xf numFmtId="2" fontId="25" fillId="2" borderId="53" xfId="30" quotePrefix="1" applyNumberFormat="1" applyFont="1" applyFill="1" applyBorder="1" applyAlignment="1">
      <alignment horizontal="center" vertical="center" wrapText="1"/>
    </xf>
    <xf numFmtId="2" fontId="25" fillId="2" borderId="5" xfId="30" quotePrefix="1" applyNumberFormat="1" applyFont="1" applyFill="1" applyBorder="1" applyAlignment="1">
      <alignment horizontal="center" vertical="center" wrapText="1"/>
    </xf>
    <xf numFmtId="2" fontId="25" fillId="2" borderId="1" xfId="62" applyNumberFormat="1" applyFont="1" applyFill="1" applyBorder="1" applyAlignment="1">
      <alignment horizontal="center" vertical="center" wrapText="1"/>
    </xf>
    <xf numFmtId="2" fontId="25" fillId="2" borderId="1" xfId="38" applyNumberFormat="1" applyFont="1" applyFill="1" applyBorder="1" applyAlignment="1">
      <alignment horizontal="center" vertical="center" wrapText="1"/>
    </xf>
    <xf numFmtId="49" fontId="21" fillId="2" borderId="25" xfId="32" quotePrefix="1" applyNumberFormat="1" applyFont="1" applyFill="1" applyBorder="1" applyAlignment="1">
      <alignment horizontal="left" vertical="center" wrapText="1"/>
    </xf>
    <xf numFmtId="4" fontId="25" fillId="2" borderId="54" xfId="34" applyNumberFormat="1" applyFont="1" applyFill="1" applyBorder="1" applyAlignment="1">
      <alignment horizontal="center" vertical="center" wrapText="1"/>
    </xf>
    <xf numFmtId="49" fontId="22" fillId="2" borderId="5" xfId="32" quotePrefix="1" applyNumberFormat="1" applyFont="1" applyFill="1" applyBorder="1" applyAlignment="1">
      <alignment horizontal="center" vertical="center" wrapText="1"/>
    </xf>
    <xf numFmtId="2" fontId="22" fillId="2" borderId="53" xfId="38" applyNumberFormat="1" applyFont="1" applyFill="1" applyBorder="1" applyAlignment="1">
      <alignment horizontal="center" vertical="center" wrapText="1"/>
    </xf>
    <xf numFmtId="2" fontId="22" fillId="2" borderId="5" xfId="38" applyNumberFormat="1" applyFont="1" applyFill="1" applyBorder="1" applyAlignment="1">
      <alignment horizontal="center" vertical="center" wrapText="1"/>
    </xf>
    <xf numFmtId="2" fontId="22" fillId="2" borderId="54" xfId="38" applyNumberFormat="1" applyFont="1" applyFill="1" applyBorder="1" applyAlignment="1">
      <alignment horizontal="center" vertical="center" wrapText="1"/>
    </xf>
    <xf numFmtId="0" fontId="21" fillId="2" borderId="5" xfId="36" quotePrefix="1" applyFont="1" applyFill="1" applyBorder="1" applyAlignment="1">
      <alignment horizontal="left" vertical="top" wrapText="1"/>
    </xf>
    <xf numFmtId="4" fontId="21" fillId="2" borderId="53" xfId="38" applyNumberFormat="1" applyFont="1" applyFill="1" applyBorder="1" applyAlignment="1">
      <alignment horizontal="center" vertical="center" wrapText="1"/>
    </xf>
    <xf numFmtId="4" fontId="21" fillId="2" borderId="45" xfId="38" applyNumberFormat="1" applyFont="1" applyFill="1" applyBorder="1" applyAlignment="1">
      <alignment horizontal="center" vertical="center" wrapText="1"/>
    </xf>
    <xf numFmtId="0" fontId="22" fillId="2" borderId="47" xfId="35" applyFont="1" applyFill="1" applyBorder="1" applyAlignment="1">
      <alignment horizontal="center" vertical="center" wrapText="1"/>
    </xf>
    <xf numFmtId="49" fontId="21" fillId="2" borderId="5" xfId="36" quotePrefix="1" applyNumberFormat="1" applyFont="1" applyFill="1" applyBorder="1" applyAlignment="1">
      <alignment horizontal="left" vertical="center" wrapText="1"/>
    </xf>
    <xf numFmtId="4" fontId="29" fillId="2" borderId="53" xfId="38" applyNumberFormat="1" applyFont="1" applyFill="1" applyBorder="1" applyAlignment="1">
      <alignment horizontal="center" vertical="center" wrapText="1"/>
    </xf>
    <xf numFmtId="4" fontId="29" fillId="2" borderId="5" xfId="38" applyNumberFormat="1" applyFont="1" applyFill="1" applyBorder="1" applyAlignment="1">
      <alignment horizontal="center" vertical="center" wrapText="1"/>
    </xf>
    <xf numFmtId="49" fontId="21" fillId="2" borderId="0" xfId="36" quotePrefix="1" applyNumberFormat="1" applyFont="1" applyFill="1" applyBorder="1" applyAlignment="1">
      <alignment horizontal="left" vertical="center" wrapText="1"/>
    </xf>
    <xf numFmtId="0" fontId="25" fillId="2" borderId="47" xfId="35" applyNumberFormat="1" applyFont="1" applyFill="1" applyBorder="1" applyAlignment="1">
      <alignment horizontal="center" vertical="center" wrapText="1"/>
    </xf>
    <xf numFmtId="0" fontId="29" fillId="2" borderId="5" xfId="36" quotePrefix="1" applyFont="1" applyFill="1" applyBorder="1" applyAlignment="1">
      <alignment horizontal="left" vertical="top" wrapText="1"/>
    </xf>
    <xf numFmtId="4" fontId="29" fillId="2" borderId="45" xfId="38" applyNumberFormat="1" applyFont="1" applyFill="1" applyBorder="1" applyAlignment="1">
      <alignment horizontal="center" vertical="center" wrapText="1"/>
    </xf>
    <xf numFmtId="0" fontId="22" fillId="2" borderId="35" xfId="35" applyNumberFormat="1" applyFont="1" applyFill="1" applyBorder="1" applyAlignment="1">
      <alignment horizontal="center" vertical="center" wrapText="1"/>
    </xf>
    <xf numFmtId="0" fontId="21" fillId="2" borderId="0" xfId="36" quotePrefix="1" applyFont="1" applyFill="1" applyBorder="1" applyAlignment="1">
      <alignment horizontal="left" vertical="top" wrapText="1"/>
    </xf>
    <xf numFmtId="4" fontId="25" fillId="2" borderId="41" xfId="38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21" fillId="0" borderId="0" xfId="38" applyNumberFormat="1" applyFont="1" applyFill="1" applyBorder="1" applyAlignment="1">
      <alignment horizontal="center" vertical="center" wrapText="1"/>
    </xf>
    <xf numFmtId="0" fontId="23" fillId="0" borderId="9" xfId="0" quotePrefix="1" applyFont="1" applyFill="1" applyBorder="1" applyAlignment="1">
      <alignment horizontal="left" vertical="center" wrapText="1"/>
    </xf>
    <xf numFmtId="0" fontId="22" fillId="0" borderId="35" xfId="35" applyFont="1" applyFill="1" applyBorder="1" applyAlignment="1">
      <alignment horizontal="center" vertical="center" wrapText="1"/>
    </xf>
    <xf numFmtId="0" fontId="22" fillId="0" borderId="1" xfId="35" applyFont="1" applyFill="1" applyBorder="1" applyAlignment="1">
      <alignment horizontal="center" vertical="center" wrapText="1"/>
    </xf>
    <xf numFmtId="4" fontId="25" fillId="0" borderId="1" xfId="38" applyNumberFormat="1" applyFont="1" applyFill="1" applyBorder="1" applyAlignment="1">
      <alignment horizontal="center" vertical="center" wrapText="1"/>
    </xf>
    <xf numFmtId="2" fontId="25" fillId="0" borderId="1" xfId="62" applyNumberFormat="1" applyFont="1" applyFill="1" applyBorder="1" applyAlignment="1">
      <alignment horizontal="center" vertical="center" wrapText="1"/>
    </xf>
    <xf numFmtId="0" fontId="9" fillId="0" borderId="0" xfId="13" quotePrefix="1" applyAlignment="1">
      <alignment horizontal="left" vertical="top" wrapText="1"/>
    </xf>
    <xf numFmtId="4" fontId="30" fillId="0" borderId="1" xfId="38" applyNumberFormat="1" applyFont="1" applyFill="1" applyBorder="1" applyAlignment="1">
      <alignment horizontal="center" vertical="center" wrapText="1"/>
    </xf>
    <xf numFmtId="0" fontId="22" fillId="0" borderId="5" xfId="35" applyFont="1" applyFill="1" applyBorder="1" applyAlignment="1">
      <alignment horizontal="center" vertical="center" wrapText="1"/>
    </xf>
    <xf numFmtId="49" fontId="21" fillId="0" borderId="5" xfId="36" quotePrefix="1" applyNumberFormat="1" applyFont="1" applyFill="1" applyBorder="1" applyAlignment="1">
      <alignment horizontal="left" vertical="center" wrapText="1"/>
    </xf>
    <xf numFmtId="4" fontId="25" fillId="0" borderId="5" xfId="38" applyNumberFormat="1" applyFont="1" applyFill="1" applyBorder="1" applyAlignment="1">
      <alignment horizontal="center" vertical="center" wrapText="1"/>
    </xf>
    <xf numFmtId="2" fontId="25" fillId="0" borderId="5" xfId="62" applyNumberFormat="1" applyFont="1" applyFill="1" applyBorder="1" applyAlignment="1">
      <alignment horizontal="center" vertical="center" wrapText="1"/>
    </xf>
    <xf numFmtId="0" fontId="22" fillId="0" borderId="1" xfId="40" quotePrefix="1" applyFont="1" applyFill="1" applyBorder="1" applyAlignment="1">
      <alignment horizontal="left" vertical="center" wrapText="1"/>
    </xf>
    <xf numFmtId="0" fontId="22" fillId="0" borderId="8" xfId="30" quotePrefix="1" applyFont="1" applyFill="1" applyBorder="1" applyAlignment="1">
      <alignment horizontal="left" vertical="center" wrapText="1"/>
    </xf>
    <xf numFmtId="4" fontId="22" fillId="0" borderId="22" xfId="30" quotePrefix="1" applyNumberFormat="1" applyFont="1" applyFill="1" applyBorder="1" applyAlignment="1">
      <alignment horizontal="left" vertical="top" wrapText="1"/>
    </xf>
    <xf numFmtId="4" fontId="22" fillId="0" borderId="9" xfId="30" quotePrefix="1" applyNumberFormat="1" applyFont="1" applyFill="1" applyBorder="1" applyAlignment="1">
      <alignment horizontal="left" vertical="top" wrapText="1"/>
    </xf>
    <xf numFmtId="4" fontId="31" fillId="0" borderId="3" xfId="38" applyNumberFormat="1" applyFont="1" applyFill="1" applyBorder="1" applyAlignment="1">
      <alignment horizontal="center" vertical="center" wrapText="1"/>
    </xf>
    <xf numFmtId="4" fontId="31" fillId="0" borderId="28" xfId="38" applyNumberFormat="1" applyFont="1" applyFill="1" applyBorder="1" applyAlignment="1">
      <alignment horizontal="center" vertical="center" wrapText="1"/>
    </xf>
    <xf numFmtId="2" fontId="21" fillId="0" borderId="28" xfId="62" applyNumberFormat="1" applyFont="1" applyFill="1" applyBorder="1" applyAlignment="1">
      <alignment horizontal="left" vertical="center" wrapText="1"/>
    </xf>
    <xf numFmtId="0" fontId="9" fillId="0" borderId="1" xfId="13" quotePrefix="1" applyFill="1" applyBorder="1" applyAlignment="1">
      <alignment horizontal="left" vertical="top" wrapText="1"/>
    </xf>
    <xf numFmtId="0" fontId="28" fillId="2" borderId="0" xfId="37" quotePrefix="1" applyFont="1" applyFill="1" applyBorder="1" applyAlignment="1">
      <alignment horizontal="right" vertical="top" wrapText="1"/>
    </xf>
    <xf numFmtId="4" fontId="25" fillId="2" borderId="50" xfId="38" applyNumberFormat="1" applyFont="1" applyFill="1" applyBorder="1" applyAlignment="1">
      <alignment horizontal="center" vertical="center" wrapText="1"/>
    </xf>
    <xf numFmtId="4" fontId="25" fillId="2" borderId="24" xfId="38" applyNumberFormat="1" applyFont="1" applyFill="1" applyBorder="1" applyAlignment="1">
      <alignment horizontal="center" vertical="center" wrapText="1"/>
    </xf>
    <xf numFmtId="4" fontId="25" fillId="2" borderId="49" xfId="38" applyNumberFormat="1" applyFont="1" applyFill="1" applyBorder="1" applyAlignment="1">
      <alignment horizontal="center" vertical="center" wrapText="1"/>
    </xf>
    <xf numFmtId="2" fontId="25" fillId="2" borderId="46" xfId="62" applyNumberFormat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49" fontId="21" fillId="2" borderId="1" xfId="36" quotePrefix="1" applyNumberFormat="1" applyFont="1" applyFill="1" applyBorder="1" applyAlignment="1">
      <alignment horizontal="left" vertical="center" wrapText="1"/>
    </xf>
    <xf numFmtId="0" fontId="25" fillId="2" borderId="1" xfId="37" quotePrefix="1" applyFont="1" applyFill="1" applyBorder="1" applyAlignment="1">
      <alignment horizontal="right" vertical="center" wrapText="1"/>
    </xf>
    <xf numFmtId="4" fontId="25" fillId="2" borderId="1" xfId="38" applyNumberFormat="1" applyFont="1" applyFill="1" applyBorder="1" applyAlignment="1">
      <alignment horizontal="center" vertical="center" wrapText="1"/>
    </xf>
    <xf numFmtId="0" fontId="28" fillId="2" borderId="1" xfId="37" quotePrefix="1" applyFont="1" applyFill="1" applyBorder="1" applyAlignment="1">
      <alignment horizontal="right" vertical="top" wrapText="1"/>
    </xf>
    <xf numFmtId="4" fontId="22" fillId="0" borderId="29" xfId="38" applyNumberFormat="1" applyFont="1" applyFill="1" applyBorder="1" applyAlignment="1">
      <alignment horizontal="center" vertical="center" wrapText="1"/>
    </xf>
    <xf numFmtId="4" fontId="22" fillId="0" borderId="51" xfId="38" applyNumberFormat="1" applyFont="1" applyFill="1" applyBorder="1" applyAlignment="1">
      <alignment horizontal="center" vertical="center" wrapText="1"/>
    </xf>
    <xf numFmtId="4" fontId="22" fillId="0" borderId="52" xfId="38" applyNumberFormat="1" applyFont="1" applyFill="1" applyBorder="1" applyAlignment="1">
      <alignment horizontal="center" vertical="center" wrapText="1"/>
    </xf>
    <xf numFmtId="0" fontId="15" fillId="0" borderId="0" xfId="60" applyFont="1" applyFill="1" applyAlignment="1">
      <alignment horizontal="right" wrapText="1"/>
    </xf>
    <xf numFmtId="0" fontId="15" fillId="0" borderId="0" xfId="60" applyFont="1" applyFill="1" applyAlignment="1">
      <alignment horizontal="right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3" xfId="19" quotePrefix="1" applyFont="1" applyFill="1" applyBorder="1" applyAlignment="1">
      <alignment horizontal="center" vertical="center" wrapText="1"/>
    </xf>
    <xf numFmtId="0" fontId="19" fillId="0" borderId="14" xfId="19" applyFont="1" applyFill="1" applyBorder="1" applyAlignment="1">
      <alignment horizontal="center" vertical="center" wrapText="1"/>
    </xf>
    <xf numFmtId="0" fontId="19" fillId="0" borderId="4" xfId="20" quotePrefix="1" applyFont="1" applyFill="1" applyBorder="1" applyAlignment="1">
      <alignment horizontal="center" vertical="center" wrapText="1"/>
    </xf>
    <xf numFmtId="0" fontId="19" fillId="0" borderId="15" xfId="20" applyFont="1" applyFill="1" applyBorder="1" applyAlignment="1">
      <alignment horizontal="center" vertical="center" wrapText="1"/>
    </xf>
    <xf numFmtId="0" fontId="19" fillId="0" borderId="13" xfId="21" quotePrefix="1" applyFont="1" applyFill="1" applyBorder="1" applyAlignment="1">
      <alignment horizontal="center" vertical="center" wrapText="1"/>
    </xf>
    <xf numFmtId="0" fontId="19" fillId="0" borderId="17" xfId="21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22" fillId="0" borderId="18" xfId="30" quotePrefix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4" fontId="22" fillId="0" borderId="18" xfId="30" quotePrefix="1" applyNumberFormat="1" applyFont="1" applyFill="1" applyBorder="1" applyAlignment="1">
      <alignment horizontal="center" vertical="top" wrapText="1"/>
    </xf>
    <xf numFmtId="4" fontId="22" fillId="0" borderId="6" xfId="30" quotePrefix="1" applyNumberFormat="1" applyFont="1" applyFill="1" applyBorder="1" applyAlignment="1">
      <alignment horizontal="center" vertical="top" wrapText="1"/>
    </xf>
    <xf numFmtId="4" fontId="22" fillId="0" borderId="19" xfId="30" quotePrefix="1" applyNumberFormat="1" applyFont="1" applyFill="1" applyBorder="1" applyAlignment="1">
      <alignment horizontal="center" vertical="top" wrapText="1"/>
    </xf>
    <xf numFmtId="0" fontId="22" fillId="0" borderId="41" xfId="30" quotePrefix="1" applyFont="1" applyFill="1" applyBorder="1" applyAlignment="1">
      <alignment horizontal="left" vertical="center" wrapText="1"/>
    </xf>
    <xf numFmtId="0" fontId="15" fillId="0" borderId="42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4" fontId="22" fillId="0" borderId="18" xfId="30" quotePrefix="1" applyNumberFormat="1" applyFont="1" applyFill="1" applyBorder="1" applyAlignment="1">
      <alignment horizontal="left" vertical="center" wrapText="1"/>
    </xf>
    <xf numFmtId="4" fontId="22" fillId="0" borderId="0" xfId="30" quotePrefix="1" applyNumberFormat="1" applyFont="1" applyFill="1" applyBorder="1" applyAlignment="1">
      <alignment horizontal="left" vertical="center" wrapText="1"/>
    </xf>
    <xf numFmtId="4" fontId="22" fillId="0" borderId="26" xfId="30" quotePrefix="1" applyNumberFormat="1" applyFont="1" applyFill="1" applyBorder="1" applyAlignment="1">
      <alignment horizontal="left" vertical="center" wrapText="1"/>
    </xf>
    <xf numFmtId="4" fontId="22" fillId="0" borderId="41" xfId="30" quotePrefix="1" applyNumberFormat="1" applyFont="1" applyFill="1" applyBorder="1" applyAlignment="1">
      <alignment horizontal="center" vertical="top" wrapText="1"/>
    </xf>
    <xf numFmtId="4" fontId="22" fillId="0" borderId="40" xfId="30" quotePrefix="1" applyNumberFormat="1" applyFont="1" applyFill="1" applyBorder="1" applyAlignment="1">
      <alignment horizontal="center" vertical="top" wrapText="1"/>
    </xf>
    <xf numFmtId="4" fontId="22" fillId="0" borderId="26" xfId="30" quotePrefix="1" applyNumberFormat="1" applyFont="1" applyFill="1" applyBorder="1" applyAlignment="1">
      <alignment horizontal="center" vertical="top" wrapText="1"/>
    </xf>
    <xf numFmtId="2" fontId="21" fillId="0" borderId="23" xfId="30" quotePrefix="1" applyNumberFormat="1" applyFont="1" applyFill="1" applyBorder="1" applyAlignment="1">
      <alignment horizontal="center" vertical="center" wrapText="1"/>
    </xf>
    <xf numFmtId="2" fontId="21" fillId="0" borderId="20" xfId="30" quotePrefix="1" applyNumberFormat="1" applyFont="1" applyFill="1" applyBorder="1" applyAlignment="1">
      <alignment horizontal="center" vertical="center" wrapText="1"/>
    </xf>
    <xf numFmtId="2" fontId="22" fillId="0" borderId="51" xfId="38" applyNumberFormat="1" applyFont="1" applyFill="1" applyBorder="1" applyAlignment="1">
      <alignment horizontal="center" vertical="center" wrapText="1"/>
    </xf>
    <xf numFmtId="2" fontId="22" fillId="0" borderId="21" xfId="38" applyNumberFormat="1" applyFont="1" applyFill="1" applyBorder="1" applyAlignment="1">
      <alignment horizontal="center" vertical="center" wrapText="1"/>
    </xf>
    <xf numFmtId="2" fontId="25" fillId="2" borderId="41" xfId="38" applyNumberFormat="1" applyFont="1" applyFill="1" applyBorder="1" applyAlignment="1">
      <alignment horizontal="center" vertical="center" wrapText="1"/>
    </xf>
    <xf numFmtId="2" fontId="25" fillId="2" borderId="39" xfId="38" applyNumberFormat="1" applyFont="1" applyFill="1" applyBorder="1" applyAlignment="1">
      <alignment horizontal="center" vertical="center" wrapText="1"/>
    </xf>
    <xf numFmtId="0" fontId="22" fillId="0" borderId="34" xfId="30" quotePrefix="1" applyFont="1" applyFill="1" applyBorder="1" applyAlignment="1">
      <alignment horizontal="left" wrapText="1"/>
    </xf>
    <xf numFmtId="0" fontId="15" fillId="0" borderId="40" xfId="0" applyFont="1" applyFill="1" applyBorder="1" applyAlignment="1">
      <alignment horizontal="left" wrapText="1"/>
    </xf>
    <xf numFmtId="0" fontId="15" fillId="0" borderId="36" xfId="0" applyFont="1" applyFill="1" applyBorder="1" applyAlignment="1">
      <alignment horizontal="left" wrapText="1"/>
    </xf>
    <xf numFmtId="4" fontId="22" fillId="0" borderId="42" xfId="30" quotePrefix="1" applyNumberFormat="1" applyFont="1" applyFill="1" applyBorder="1" applyAlignment="1">
      <alignment horizontal="center" vertical="top" wrapText="1"/>
    </xf>
    <xf numFmtId="0" fontId="22" fillId="0" borderId="35" xfId="30" quotePrefix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2" fillId="0" borderId="18" xfId="30" quotePrefix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4" fontId="22" fillId="0" borderId="34" xfId="30" quotePrefix="1" applyNumberFormat="1" applyFont="1" applyFill="1" applyBorder="1" applyAlignment="1">
      <alignment horizontal="center" vertical="top" wrapText="1"/>
    </xf>
    <xf numFmtId="4" fontId="22" fillId="0" borderId="36" xfId="30" quotePrefix="1" applyNumberFormat="1" applyFont="1" applyFill="1" applyBorder="1" applyAlignment="1">
      <alignment horizontal="center" vertical="top" wrapText="1"/>
    </xf>
    <xf numFmtId="0" fontId="22" fillId="0" borderId="9" xfId="35" quotePrefix="1" applyFont="1" applyFill="1" applyBorder="1" applyAlignment="1">
      <alignment horizontal="left" vertical="center" wrapText="1"/>
    </xf>
    <xf numFmtId="0" fontId="22" fillId="0" borderId="22" xfId="35" quotePrefix="1" applyFont="1" applyFill="1" applyBorder="1" applyAlignment="1">
      <alignment horizontal="left" vertical="center" wrapText="1"/>
    </xf>
    <xf numFmtId="0" fontId="22" fillId="0" borderId="8" xfId="35" quotePrefix="1" applyFont="1" applyFill="1" applyBorder="1" applyAlignment="1">
      <alignment horizontal="left" vertical="center" wrapText="1"/>
    </xf>
    <xf numFmtId="4" fontId="21" fillId="0" borderId="23" xfId="34" applyNumberFormat="1" applyFont="1" applyFill="1" applyBorder="1" applyAlignment="1">
      <alignment horizontal="center" vertical="center" wrapText="1"/>
    </xf>
    <xf numFmtId="4" fontId="21" fillId="0" borderId="20" xfId="34" applyNumberFormat="1" applyFont="1" applyFill="1" applyBorder="1" applyAlignment="1">
      <alignment horizontal="center" vertical="center" wrapText="1"/>
    </xf>
    <xf numFmtId="0" fontId="22" fillId="0" borderId="1" xfId="35" applyNumberFormat="1" applyFont="1" applyFill="1" applyBorder="1" applyAlignment="1">
      <alignment horizontal="center" vertical="center" wrapText="1"/>
    </xf>
    <xf numFmtId="0" fontId="22" fillId="0" borderId="1" xfId="37" quotePrefix="1" applyFont="1" applyFill="1" applyBorder="1" applyAlignment="1">
      <alignment horizontal="left" vertical="center" wrapText="1"/>
    </xf>
    <xf numFmtId="172" fontId="21" fillId="0" borderId="1" xfId="38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75" fontId="0" fillId="0" borderId="1" xfId="0" applyNumberFormat="1" applyFill="1" applyBorder="1"/>
    <xf numFmtId="169" fontId="21" fillId="0" borderId="1" xfId="38" applyNumberFormat="1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/>
    </xf>
  </cellXfs>
  <cellStyles count="63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Финансовый" xfId="62" builtinId="3"/>
    <cellStyle name="Финансовый 2" xfId="57"/>
    <cellStyle name="Финансовый 3" xfId="59"/>
    <cellStyle name="Финансовый 3 2" xfId="61"/>
  </cellStyles>
  <dxfs count="0"/>
  <tableStyles count="0" defaultTableStyle="TableStyleMedium2" defaultPivotStyle="PivotStyleMedium9"/>
  <colors>
    <mruColors>
      <color rgb="FFD9D9D9"/>
      <color rgb="FFC7C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57149</xdr:colOff>
      <xdr:row>92</xdr:row>
      <xdr:rowOff>104775</xdr:rowOff>
    </xdr:from>
    <xdr:to>
      <xdr:col>5</xdr:col>
      <xdr:colOff>57150</xdr:colOff>
      <xdr:row>94</xdr:row>
      <xdr:rowOff>91970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299" y="17478375"/>
          <a:ext cx="676276" cy="3681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971550</xdr:colOff>
      <xdr:row>94</xdr:row>
      <xdr:rowOff>104776</xdr:rowOff>
    </xdr:from>
    <xdr:to>
      <xdr:col>5</xdr:col>
      <xdr:colOff>85725</xdr:colOff>
      <xdr:row>96</xdr:row>
      <xdr:rowOff>85012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17859376"/>
          <a:ext cx="790575" cy="361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257175</xdr:colOff>
      <xdr:row>4</xdr:row>
      <xdr:rowOff>9525</xdr:rowOff>
    </xdr:from>
    <xdr:to>
      <xdr:col>5</xdr:col>
      <xdr:colOff>714859</xdr:colOff>
      <xdr:row>6</xdr:row>
      <xdr:rowOff>28575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0075" y="771525"/>
          <a:ext cx="457684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zoomScaleNormal="100" zoomScaleSheetLayoutView="100" workbookViewId="0">
      <selection activeCell="A46" sqref="A46:C46"/>
    </sheetView>
  </sheetViews>
  <sheetFormatPr defaultRowHeight="15" x14ac:dyDescent="0.25"/>
  <cols>
    <col min="1" max="1" width="9.28515625" bestFit="1" customWidth="1"/>
    <col min="2" max="2" width="29.85546875" customWidth="1"/>
    <col min="3" max="3" width="55.28515625" customWidth="1"/>
    <col min="4" max="4" width="15" customWidth="1"/>
    <col min="5" max="5" width="10.140625" bestFit="1" customWidth="1"/>
    <col min="6" max="7" width="11.5703125" bestFit="1" customWidth="1"/>
    <col min="8" max="8" width="11.85546875" customWidth="1"/>
    <col min="9" max="9" width="10" bestFit="1" customWidth="1"/>
    <col min="12" max="12" width="9.140625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94" t="s">
        <v>92</v>
      </c>
      <c r="E2" s="194"/>
      <c r="F2" s="194"/>
      <c r="G2" s="194"/>
      <c r="H2" s="194"/>
      <c r="I2" s="11"/>
    </row>
    <row r="3" spans="1:9" x14ac:dyDescent="0.25">
      <c r="A3" s="11"/>
      <c r="B3" s="11"/>
      <c r="C3" s="11"/>
      <c r="D3" s="194"/>
      <c r="E3" s="194"/>
      <c r="F3" s="194"/>
      <c r="G3" s="194"/>
      <c r="H3" s="194"/>
      <c r="I3" s="11"/>
    </row>
    <row r="4" spans="1:9" x14ac:dyDescent="0.25">
      <c r="A4" s="11"/>
      <c r="B4" s="11"/>
      <c r="C4" s="11"/>
      <c r="D4" s="194"/>
      <c r="E4" s="194"/>
      <c r="F4" s="194"/>
      <c r="G4" s="194"/>
      <c r="H4" s="194"/>
      <c r="I4" s="11"/>
    </row>
    <row r="5" spans="1:9" x14ac:dyDescent="0.25">
      <c r="A5" s="11"/>
      <c r="B5" s="11"/>
      <c r="C5" s="11"/>
      <c r="D5" s="195" t="s">
        <v>82</v>
      </c>
      <c r="E5" s="195"/>
      <c r="F5" s="195"/>
      <c r="G5" s="195"/>
      <c r="H5" s="195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x14ac:dyDescent="0.25">
      <c r="A8" s="11"/>
      <c r="B8" s="11"/>
      <c r="C8" s="11"/>
      <c r="D8" s="11"/>
      <c r="E8" s="11"/>
      <c r="F8" s="11"/>
      <c r="G8" s="11"/>
      <c r="H8" s="11"/>
      <c r="I8" s="11"/>
    </row>
    <row r="9" spans="1:9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1"/>
      <c r="B10" s="11"/>
      <c r="C10" s="11"/>
      <c r="D10" s="11"/>
      <c r="E10" s="11"/>
      <c r="F10" s="11"/>
      <c r="G10" s="11"/>
      <c r="H10" s="11"/>
      <c r="I10" s="11"/>
    </row>
    <row r="11" spans="1:9" ht="53.25" customHeight="1" x14ac:dyDescent="0.25">
      <c r="A11" s="196" t="s">
        <v>112</v>
      </c>
      <c r="B11" s="196"/>
      <c r="C11" s="197"/>
      <c r="D11" s="197"/>
      <c r="E11" s="197"/>
      <c r="F11" s="197"/>
      <c r="G11" s="197"/>
      <c r="H11" s="197"/>
      <c r="I11" s="11"/>
    </row>
    <row r="12" spans="1:9" ht="15.75" thickBot="1" x14ac:dyDescent="0.3">
      <c r="A12" s="11" t="s">
        <v>98</v>
      </c>
      <c r="B12" s="11"/>
      <c r="C12" s="11"/>
      <c r="D12" s="11"/>
      <c r="E12" s="11"/>
      <c r="F12" s="11"/>
      <c r="G12" s="249"/>
      <c r="H12" s="249"/>
      <c r="I12" s="11"/>
    </row>
    <row r="13" spans="1:9" ht="38.25" customHeight="1" thickBot="1" x14ac:dyDescent="0.3">
      <c r="A13" s="198" t="s">
        <v>18</v>
      </c>
      <c r="B13" s="200" t="s">
        <v>6</v>
      </c>
      <c r="C13" s="202" t="s">
        <v>7</v>
      </c>
      <c r="D13" s="204" t="s">
        <v>62</v>
      </c>
      <c r="E13" s="205"/>
      <c r="F13" s="205"/>
      <c r="G13" s="205"/>
      <c r="H13" s="206"/>
      <c r="I13" s="11"/>
    </row>
    <row r="14" spans="1:9" ht="32.25" thickBot="1" x14ac:dyDescent="0.3">
      <c r="A14" s="199"/>
      <c r="B14" s="201"/>
      <c r="C14" s="203"/>
      <c r="D14" s="12" t="s">
        <v>0</v>
      </c>
      <c r="E14" s="13" t="s">
        <v>1</v>
      </c>
      <c r="F14" s="13" t="s">
        <v>2</v>
      </c>
      <c r="G14" s="14" t="s">
        <v>3</v>
      </c>
      <c r="H14" s="15" t="s">
        <v>8</v>
      </c>
      <c r="I14" s="11"/>
    </row>
    <row r="15" spans="1:9" ht="15.75" thickBot="1" x14ac:dyDescent="0.3">
      <c r="A15" s="16">
        <v>1</v>
      </c>
      <c r="B15" s="17">
        <v>2</v>
      </c>
      <c r="C15" s="18">
        <v>3</v>
      </c>
      <c r="D15" s="19">
        <v>4</v>
      </c>
      <c r="E15" s="20">
        <v>5</v>
      </c>
      <c r="F15" s="20">
        <v>6</v>
      </c>
      <c r="G15" s="21">
        <v>7</v>
      </c>
      <c r="H15" s="22">
        <v>8</v>
      </c>
      <c r="I15" s="11"/>
    </row>
    <row r="16" spans="1:9" x14ac:dyDescent="0.25">
      <c r="A16" s="207" t="s">
        <v>25</v>
      </c>
      <c r="B16" s="208"/>
      <c r="C16" s="208"/>
      <c r="D16" s="209"/>
      <c r="E16" s="210"/>
      <c r="F16" s="210"/>
      <c r="G16" s="210"/>
      <c r="H16" s="211"/>
      <c r="I16" s="11"/>
    </row>
    <row r="17" spans="1:9" hidden="1" x14ac:dyDescent="0.25">
      <c r="A17" s="103">
        <v>1</v>
      </c>
      <c r="B17" s="31" t="s">
        <v>29</v>
      </c>
      <c r="C17" s="104" t="s">
        <v>35</v>
      </c>
      <c r="D17" s="4"/>
      <c r="E17" s="5"/>
      <c r="F17" s="5"/>
      <c r="G17" s="5"/>
      <c r="H17" s="6">
        <f t="shared" ref="H17:H20" si="0">D17+E17+F17+G17</f>
        <v>0</v>
      </c>
      <c r="I17" s="11"/>
    </row>
    <row r="18" spans="1:9" hidden="1" x14ac:dyDescent="0.25">
      <c r="A18" s="23">
        <v>2</v>
      </c>
      <c r="B18" s="24" t="s">
        <v>30</v>
      </c>
      <c r="C18" s="25" t="s">
        <v>36</v>
      </c>
      <c r="D18" s="1"/>
      <c r="E18" s="2"/>
      <c r="F18" s="2"/>
      <c r="G18" s="2"/>
      <c r="H18" s="3">
        <f t="shared" si="0"/>
        <v>0</v>
      </c>
      <c r="I18" s="11"/>
    </row>
    <row r="19" spans="1:9" hidden="1" x14ac:dyDescent="0.25">
      <c r="A19" s="23">
        <v>3</v>
      </c>
      <c r="B19" s="24" t="s">
        <v>33</v>
      </c>
      <c r="C19" s="25" t="s">
        <v>37</v>
      </c>
      <c r="D19" s="1"/>
      <c r="E19" s="2"/>
      <c r="F19" s="2"/>
      <c r="G19" s="2"/>
      <c r="H19" s="3">
        <f t="shared" si="0"/>
        <v>0</v>
      </c>
      <c r="I19" s="11"/>
    </row>
    <row r="20" spans="1:9" hidden="1" x14ac:dyDescent="0.25">
      <c r="A20" s="23">
        <v>4</v>
      </c>
      <c r="B20" s="24" t="s">
        <v>34</v>
      </c>
      <c r="C20" s="25" t="s">
        <v>38</v>
      </c>
      <c r="D20" s="1"/>
      <c r="E20" s="2"/>
      <c r="F20" s="2"/>
      <c r="G20" s="2"/>
      <c r="H20" s="3">
        <f t="shared" si="0"/>
        <v>0</v>
      </c>
      <c r="I20" s="11"/>
    </row>
    <row r="21" spans="1:9" ht="15.75" thickBot="1" x14ac:dyDescent="0.3">
      <c r="A21" s="26"/>
      <c r="B21" s="27" t="s">
        <v>17</v>
      </c>
      <c r="C21" s="105" t="s">
        <v>26</v>
      </c>
      <c r="D21" s="28">
        <f>SUM(D17:D20)</f>
        <v>0</v>
      </c>
      <c r="E21" s="29">
        <f>SUM(E17:E20)</f>
        <v>0</v>
      </c>
      <c r="F21" s="29">
        <f>SUM(F17:F20)</f>
        <v>0</v>
      </c>
      <c r="G21" s="29">
        <f>SUM(G17:G20)</f>
        <v>0</v>
      </c>
      <c r="H21" s="98">
        <f>SUM(H17:H20)</f>
        <v>0</v>
      </c>
      <c r="I21" s="11"/>
    </row>
    <row r="22" spans="1:9" ht="15.75" thickBot="1" x14ac:dyDescent="0.3">
      <c r="A22" s="113"/>
      <c r="B22" s="120"/>
      <c r="C22" s="121" t="s">
        <v>73</v>
      </c>
      <c r="D22" s="122">
        <f>D21*5.88</f>
        <v>0</v>
      </c>
      <c r="E22" s="122">
        <f>E21*6.26</f>
        <v>0</v>
      </c>
      <c r="F22" s="123">
        <v>0</v>
      </c>
      <c r="G22" s="123">
        <f>G21*7.53</f>
        <v>0</v>
      </c>
      <c r="H22" s="124">
        <f>D22+E22+F22+G22</f>
        <v>0</v>
      </c>
      <c r="I22" s="11"/>
    </row>
    <row r="23" spans="1:9" ht="15.75" thickBot="1" x14ac:dyDescent="0.3">
      <c r="A23" s="212" t="s">
        <v>9</v>
      </c>
      <c r="B23" s="213"/>
      <c r="C23" s="214"/>
      <c r="D23" s="215"/>
      <c r="E23" s="216"/>
      <c r="F23" s="216"/>
      <c r="G23" s="216"/>
      <c r="H23" s="217"/>
      <c r="I23" s="11"/>
    </row>
    <row r="24" spans="1:9" ht="15.75" thickBot="1" x14ac:dyDescent="0.3">
      <c r="A24" s="30">
        <v>1</v>
      </c>
      <c r="B24" s="31" t="s">
        <v>108</v>
      </c>
      <c r="C24" s="32" t="s">
        <v>109</v>
      </c>
      <c r="D24" s="192">
        <f>39.808</f>
        <v>39.808</v>
      </c>
      <c r="E24" s="193">
        <v>1.47</v>
      </c>
      <c r="F24" s="28">
        <v>38.972000000000001</v>
      </c>
      <c r="G24" s="28">
        <v>0</v>
      </c>
      <c r="H24" s="179">
        <f>D24+E24+F24+G24</f>
        <v>80.25</v>
      </c>
      <c r="I24" s="11"/>
    </row>
    <row r="25" spans="1:9" x14ac:dyDescent="0.25">
      <c r="A25" s="35">
        <v>6</v>
      </c>
      <c r="B25" s="24" t="s">
        <v>107</v>
      </c>
      <c r="C25" s="36" t="s">
        <v>106</v>
      </c>
      <c r="D25" s="221">
        <v>366.56</v>
      </c>
      <c r="E25" s="222"/>
      <c r="F25" s="38"/>
      <c r="G25" s="38"/>
      <c r="H25" s="3">
        <f t="shared" ref="H25:H27" si="1">D25+E25+F25+G25</f>
        <v>366.56</v>
      </c>
      <c r="I25" s="11"/>
    </row>
    <row r="26" spans="1:9" hidden="1" x14ac:dyDescent="0.25">
      <c r="A26" s="35">
        <v>7</v>
      </c>
      <c r="B26" s="24" t="s">
        <v>31</v>
      </c>
      <c r="C26" s="36"/>
      <c r="D26" s="37"/>
      <c r="E26" s="38"/>
      <c r="F26" s="38"/>
      <c r="G26" s="38"/>
      <c r="H26" s="3">
        <f t="shared" si="1"/>
        <v>0</v>
      </c>
      <c r="I26" s="11"/>
    </row>
    <row r="27" spans="1:9" ht="16.5" hidden="1" customHeight="1" x14ac:dyDescent="0.25">
      <c r="A27" s="35">
        <v>8</v>
      </c>
      <c r="B27" s="24" t="s">
        <v>32</v>
      </c>
      <c r="C27" s="36"/>
      <c r="D27" s="37"/>
      <c r="E27" s="38"/>
      <c r="F27" s="38"/>
      <c r="G27" s="38"/>
      <c r="H27" s="3">
        <f t="shared" si="1"/>
        <v>0</v>
      </c>
      <c r="I27" s="11"/>
    </row>
    <row r="28" spans="1:9" ht="15.75" thickBot="1" x14ac:dyDescent="0.3">
      <c r="A28" s="39"/>
      <c r="B28" s="40" t="s">
        <v>17</v>
      </c>
      <c r="C28" s="95" t="s">
        <v>10</v>
      </c>
      <c r="D28" s="223">
        <f>SUM(D24:E27)</f>
        <v>407.83800000000002</v>
      </c>
      <c r="E28" s="224"/>
      <c r="F28" s="114">
        <f>SUM(F24:F27)</f>
        <v>38.972000000000001</v>
      </c>
      <c r="G28" s="114">
        <f>SUM(G24:G27)</f>
        <v>0</v>
      </c>
      <c r="H28" s="43">
        <f>SUM(H24:H27)</f>
        <v>446.81</v>
      </c>
      <c r="I28" s="11"/>
    </row>
    <row r="29" spans="1:9" ht="15.75" thickBot="1" x14ac:dyDescent="0.3">
      <c r="A29" s="125"/>
      <c r="B29" s="126"/>
      <c r="C29" s="121" t="s">
        <v>72</v>
      </c>
      <c r="D29" s="225">
        <f>366.56*5.05+(39.808+1.47)*6.26</f>
        <v>2109.52828</v>
      </c>
      <c r="E29" s="226"/>
      <c r="F29" s="127">
        <f>F28*3.55</f>
        <v>138.35059999999999</v>
      </c>
      <c r="G29" s="127"/>
      <c r="H29" s="128">
        <f>D29+E29+F29+G29</f>
        <v>2247.8788800000002</v>
      </c>
      <c r="I29" s="11"/>
    </row>
    <row r="30" spans="1:9" ht="15.75" thickBot="1" x14ac:dyDescent="0.3">
      <c r="A30" s="44"/>
      <c r="B30" s="45" t="s">
        <v>17</v>
      </c>
      <c r="C30" s="115" t="s">
        <v>27</v>
      </c>
      <c r="D30" s="116">
        <f>D28+D21</f>
        <v>407.83800000000002</v>
      </c>
      <c r="E30" s="117">
        <f>E28+E21</f>
        <v>0</v>
      </c>
      <c r="F30" s="117">
        <f>F28+F21</f>
        <v>38.972000000000001</v>
      </c>
      <c r="G30" s="117">
        <f>G28+G21</f>
        <v>0</v>
      </c>
      <c r="H30" s="118">
        <f>D30+E30+F30+G30</f>
        <v>446.81</v>
      </c>
      <c r="I30" s="11"/>
    </row>
    <row r="31" spans="1:9" ht="15.75" thickBot="1" x14ac:dyDescent="0.3">
      <c r="A31" s="129"/>
      <c r="B31" s="130"/>
      <c r="C31" s="131" t="s">
        <v>68</v>
      </c>
      <c r="D31" s="132">
        <f>D22+D29</f>
        <v>2109.52828</v>
      </c>
      <c r="E31" s="132">
        <f>E22+E29</f>
        <v>0</v>
      </c>
      <c r="F31" s="132">
        <f>F22+F29</f>
        <v>138.35059999999999</v>
      </c>
      <c r="G31" s="132">
        <f>G22+G29</f>
        <v>0</v>
      </c>
      <c r="H31" s="133">
        <f>D31+E31+F31+G31</f>
        <v>2247.8788800000002</v>
      </c>
      <c r="I31" s="11"/>
    </row>
    <row r="32" spans="1:9" ht="15.75" thickBot="1" x14ac:dyDescent="0.3">
      <c r="A32" s="212" t="s">
        <v>43</v>
      </c>
      <c r="B32" s="213"/>
      <c r="C32" s="214"/>
      <c r="D32" s="218"/>
      <c r="E32" s="219"/>
      <c r="F32" s="219"/>
      <c r="G32" s="219"/>
      <c r="H32" s="220"/>
      <c r="I32" s="11"/>
    </row>
    <row r="33" spans="1:9" ht="25.5" hidden="1" x14ac:dyDescent="0.25">
      <c r="A33" s="30">
        <v>9</v>
      </c>
      <c r="B33" s="31" t="s">
        <v>39</v>
      </c>
      <c r="C33" s="32" t="s">
        <v>47</v>
      </c>
      <c r="D33" s="33"/>
      <c r="E33" s="34"/>
      <c r="F33" s="34"/>
      <c r="G33" s="34"/>
      <c r="H33" s="6">
        <f>D33+E33+F33+G33</f>
        <v>0</v>
      </c>
      <c r="I33" s="11"/>
    </row>
    <row r="34" spans="1:9" hidden="1" x14ac:dyDescent="0.25">
      <c r="A34" s="35">
        <v>10</v>
      </c>
      <c r="B34" s="24" t="s">
        <v>40</v>
      </c>
      <c r="C34" s="36" t="s">
        <v>48</v>
      </c>
      <c r="D34" s="37"/>
      <c r="E34" s="38"/>
      <c r="F34" s="38"/>
      <c r="G34" s="38"/>
      <c r="H34" s="3">
        <f t="shared" ref="H34:H36" si="2">D34+E34+F34+G34</f>
        <v>0</v>
      </c>
      <c r="I34" s="11"/>
    </row>
    <row r="35" spans="1:9" hidden="1" x14ac:dyDescent="0.25">
      <c r="A35" s="35">
        <v>11</v>
      </c>
      <c r="B35" s="24" t="s">
        <v>41</v>
      </c>
      <c r="C35" s="36" t="s">
        <v>49</v>
      </c>
      <c r="D35" s="37"/>
      <c r="E35" s="38"/>
      <c r="F35" s="38"/>
      <c r="G35" s="38"/>
      <c r="H35" s="3">
        <f t="shared" si="2"/>
        <v>0</v>
      </c>
      <c r="I35" s="11"/>
    </row>
    <row r="36" spans="1:9" hidden="1" x14ac:dyDescent="0.25">
      <c r="A36" s="35">
        <v>12</v>
      </c>
      <c r="B36" s="24" t="s">
        <v>42</v>
      </c>
      <c r="C36" s="36" t="s">
        <v>50</v>
      </c>
      <c r="D36" s="37"/>
      <c r="E36" s="38"/>
      <c r="F36" s="38"/>
      <c r="G36" s="38"/>
      <c r="H36" s="3">
        <f t="shared" si="2"/>
        <v>0</v>
      </c>
      <c r="I36" s="11"/>
    </row>
    <row r="37" spans="1:9" ht="15.75" thickBot="1" x14ac:dyDescent="0.3">
      <c r="A37" s="49"/>
      <c r="B37" s="50"/>
      <c r="C37" s="107" t="s">
        <v>46</v>
      </c>
      <c r="D37" s="51">
        <f>SUM(D33:D36)</f>
        <v>0</v>
      </c>
      <c r="E37" s="52">
        <f t="shared" ref="E37:H37" si="3">SUM(E33:E36)</f>
        <v>0</v>
      </c>
      <c r="F37" s="52">
        <f t="shared" si="3"/>
        <v>0</v>
      </c>
      <c r="G37" s="52">
        <f t="shared" si="3"/>
        <v>0</v>
      </c>
      <c r="H37" s="119">
        <f t="shared" si="3"/>
        <v>0</v>
      </c>
      <c r="I37" s="11"/>
    </row>
    <row r="38" spans="1:9" ht="15.75" thickBot="1" x14ac:dyDescent="0.3">
      <c r="A38" s="134"/>
      <c r="B38" s="135"/>
      <c r="C38" s="121" t="s">
        <v>70</v>
      </c>
      <c r="D38" s="136">
        <f>D37*5.33*1.003</f>
        <v>0</v>
      </c>
      <c r="E38" s="136">
        <f>E37*5.33*1.003</f>
        <v>0</v>
      </c>
      <c r="F38" s="137">
        <f>F37*3.82</f>
        <v>0</v>
      </c>
      <c r="G38" s="137"/>
      <c r="H38" s="138">
        <f>D38+E38+F38+G38</f>
        <v>0</v>
      </c>
      <c r="I38" s="11"/>
    </row>
    <row r="39" spans="1:9" ht="15.75" thickBot="1" x14ac:dyDescent="0.3">
      <c r="A39" s="44"/>
      <c r="B39" s="45" t="s">
        <v>17</v>
      </c>
      <c r="C39" s="46" t="s">
        <v>63</v>
      </c>
      <c r="D39" s="41">
        <f>D30+D37</f>
        <v>407.83800000000002</v>
      </c>
      <c r="E39" s="114">
        <f t="shared" ref="E39:H39" si="4">E30+E37</f>
        <v>0</v>
      </c>
      <c r="F39" s="114">
        <f t="shared" si="4"/>
        <v>38.972000000000001</v>
      </c>
      <c r="G39" s="114">
        <f t="shared" si="4"/>
        <v>0</v>
      </c>
      <c r="H39" s="42">
        <f t="shared" si="4"/>
        <v>446.81</v>
      </c>
      <c r="I39" s="11"/>
    </row>
    <row r="40" spans="1:9" ht="15.75" thickBot="1" x14ac:dyDescent="0.3">
      <c r="A40" s="129"/>
      <c r="B40" s="130"/>
      <c r="C40" s="131" t="s">
        <v>69</v>
      </c>
      <c r="D40" s="139">
        <f>D38+D31</f>
        <v>2109.52828</v>
      </c>
      <c r="E40" s="139">
        <f t="shared" ref="E40:G40" si="5">E38+E31</f>
        <v>0</v>
      </c>
      <c r="F40" s="139">
        <f t="shared" si="5"/>
        <v>138.35059999999999</v>
      </c>
      <c r="G40" s="139">
        <f t="shared" si="5"/>
        <v>0</v>
      </c>
      <c r="H40" s="138">
        <f>D40+E40+F40+G40</f>
        <v>2247.8788800000002</v>
      </c>
      <c r="I40" s="11"/>
    </row>
    <row r="41" spans="1:9" ht="26.25" customHeight="1" thickBot="1" x14ac:dyDescent="0.3">
      <c r="A41" s="212" t="s">
        <v>44</v>
      </c>
      <c r="B41" s="213"/>
      <c r="C41" s="214"/>
      <c r="D41" s="236"/>
      <c r="E41" s="219"/>
      <c r="F41" s="219"/>
      <c r="G41" s="219"/>
      <c r="H41" s="237"/>
      <c r="I41" s="11"/>
    </row>
    <row r="42" spans="1:9" hidden="1" x14ac:dyDescent="0.25">
      <c r="A42" s="56">
        <v>13</v>
      </c>
      <c r="B42" s="57" t="s">
        <v>54</v>
      </c>
      <c r="C42" s="58" t="s">
        <v>56</v>
      </c>
      <c r="D42" s="33"/>
      <c r="E42" s="34"/>
      <c r="F42" s="34"/>
      <c r="G42" s="34"/>
      <c r="H42" s="6">
        <f>D42+E42+F42+G42</f>
        <v>0</v>
      </c>
      <c r="I42" s="11"/>
    </row>
    <row r="43" spans="1:9" ht="15.75" hidden="1" thickBot="1" x14ac:dyDescent="0.3">
      <c r="A43" s="35">
        <v>14</v>
      </c>
      <c r="B43" s="57" t="s">
        <v>55</v>
      </c>
      <c r="C43" s="36" t="s">
        <v>57</v>
      </c>
      <c r="D43" s="37"/>
      <c r="E43" s="38"/>
      <c r="F43" s="38"/>
      <c r="G43" s="38"/>
      <c r="H43" s="3">
        <f t="shared" ref="H43" si="6">D43+E43+F43+G43</f>
        <v>0</v>
      </c>
      <c r="I43" s="11"/>
    </row>
    <row r="44" spans="1:9" ht="15.75" thickBot="1" x14ac:dyDescent="0.3">
      <c r="A44" s="134"/>
      <c r="B44" s="140"/>
      <c r="C44" s="121" t="s">
        <v>71</v>
      </c>
      <c r="D44" s="136">
        <f>(D42+D43)*5.33*1.003</f>
        <v>0</v>
      </c>
      <c r="E44" s="137"/>
      <c r="F44" s="137"/>
      <c r="G44" s="137"/>
      <c r="H44" s="141">
        <f>D44</f>
        <v>0</v>
      </c>
      <c r="I44" s="11"/>
    </row>
    <row r="45" spans="1:9" ht="15.75" thickBot="1" x14ac:dyDescent="0.3">
      <c r="A45" s="39"/>
      <c r="B45" s="40" t="s">
        <v>17</v>
      </c>
      <c r="C45" s="95" t="s">
        <v>52</v>
      </c>
      <c r="D45" s="53">
        <f t="shared" ref="D45:H45" si="7">SUM(D42:D43)</f>
        <v>0</v>
      </c>
      <c r="E45" s="54">
        <f t="shared" si="7"/>
        <v>0</v>
      </c>
      <c r="F45" s="54">
        <f t="shared" si="7"/>
        <v>0</v>
      </c>
      <c r="G45" s="54">
        <f t="shared" si="7"/>
        <v>0</v>
      </c>
      <c r="H45" s="55">
        <f t="shared" si="7"/>
        <v>0</v>
      </c>
      <c r="I45" s="11"/>
    </row>
    <row r="46" spans="1:9" ht="15.75" thickBot="1" x14ac:dyDescent="0.3">
      <c r="A46" s="212" t="s">
        <v>45</v>
      </c>
      <c r="B46" s="213"/>
      <c r="C46" s="214"/>
      <c r="D46" s="236"/>
      <c r="E46" s="219"/>
      <c r="F46" s="219"/>
      <c r="G46" s="219"/>
      <c r="H46" s="237"/>
      <c r="I46" s="11"/>
    </row>
    <row r="47" spans="1:9" hidden="1" x14ac:dyDescent="0.25">
      <c r="A47" s="56"/>
      <c r="B47" s="57" t="s">
        <v>58</v>
      </c>
      <c r="C47" s="58" t="s">
        <v>59</v>
      </c>
      <c r="D47" s="33"/>
      <c r="E47" s="34"/>
      <c r="F47" s="34"/>
      <c r="G47" s="34"/>
      <c r="H47" s="6">
        <f>D47+E47+F47+G47</f>
        <v>0</v>
      </c>
      <c r="I47" s="11"/>
    </row>
    <row r="48" spans="1:9" ht="15.75" thickBot="1" x14ac:dyDescent="0.3">
      <c r="A48" s="39"/>
      <c r="B48" s="40" t="s">
        <v>17</v>
      </c>
      <c r="C48" s="95" t="s">
        <v>53</v>
      </c>
      <c r="D48" s="41">
        <f t="shared" ref="D48:H48" si="8">SUM(D47:D47)</f>
        <v>0</v>
      </c>
      <c r="E48" s="42">
        <f t="shared" si="8"/>
        <v>0</v>
      </c>
      <c r="F48" s="42">
        <f t="shared" si="8"/>
        <v>0</v>
      </c>
      <c r="G48" s="42">
        <f t="shared" si="8"/>
        <v>0</v>
      </c>
      <c r="H48" s="43">
        <f t="shared" si="8"/>
        <v>0</v>
      </c>
      <c r="I48" s="11"/>
    </row>
    <row r="49" spans="1:9" ht="15.75" thickBot="1" x14ac:dyDescent="0.3">
      <c r="A49" s="125"/>
      <c r="B49" s="142"/>
      <c r="C49" s="121" t="s">
        <v>74</v>
      </c>
      <c r="D49" s="143">
        <f>D48*5.33*1.003</f>
        <v>0</v>
      </c>
      <c r="E49" s="144"/>
      <c r="F49" s="144"/>
      <c r="G49" s="144"/>
      <c r="H49" s="145">
        <f>D49</f>
        <v>0</v>
      </c>
      <c r="I49" s="11"/>
    </row>
    <row r="50" spans="1:9" ht="15.75" thickBot="1" x14ac:dyDescent="0.3">
      <c r="A50" s="44"/>
      <c r="B50" s="45" t="s">
        <v>17</v>
      </c>
      <c r="C50" s="46" t="s">
        <v>51</v>
      </c>
      <c r="D50" s="59">
        <f>D39+D45+D48</f>
        <v>407.83800000000002</v>
      </c>
      <c r="E50" s="47">
        <f t="shared" ref="E50:H50" si="9">E39+E45+E48</f>
        <v>0</v>
      </c>
      <c r="F50" s="47">
        <f t="shared" si="9"/>
        <v>38.972000000000001</v>
      </c>
      <c r="G50" s="47">
        <f t="shared" si="9"/>
        <v>0</v>
      </c>
      <c r="H50" s="60">
        <f t="shared" si="9"/>
        <v>446.81</v>
      </c>
      <c r="I50" s="11"/>
    </row>
    <row r="51" spans="1:9" ht="15.75" thickBot="1" x14ac:dyDescent="0.3">
      <c r="A51" s="129"/>
      <c r="B51" s="130"/>
      <c r="C51" s="131" t="s">
        <v>75</v>
      </c>
      <c r="D51" s="132">
        <f>D49+D44+D40</f>
        <v>2109.52828</v>
      </c>
      <c r="E51" s="132">
        <f>E49+E44+E40</f>
        <v>0</v>
      </c>
      <c r="F51" s="132">
        <f>F49+F44+F40</f>
        <v>138.35059999999999</v>
      </c>
      <c r="G51" s="132">
        <f>G49+G44+G40</f>
        <v>0</v>
      </c>
      <c r="H51" s="138">
        <f>D51+E51+F51+G51</f>
        <v>2247.8788800000002</v>
      </c>
      <c r="I51" s="11"/>
    </row>
    <row r="52" spans="1:9" ht="15.75" thickBot="1" x14ac:dyDescent="0.3">
      <c r="A52" s="212" t="s">
        <v>23</v>
      </c>
      <c r="B52" s="213"/>
      <c r="C52" s="214"/>
      <c r="D52" s="236"/>
      <c r="E52" s="219"/>
      <c r="F52" s="219"/>
      <c r="G52" s="219"/>
      <c r="H52" s="237"/>
      <c r="I52" s="11"/>
    </row>
    <row r="53" spans="1:9" s="11" customFormat="1" x14ac:dyDescent="0.25">
      <c r="A53" s="100"/>
      <c r="B53" s="31" t="s">
        <v>101</v>
      </c>
      <c r="C53" s="101" t="s">
        <v>100</v>
      </c>
      <c r="D53" s="241">
        <f>(39.808+1.47)*0.015</f>
        <v>0.61917</v>
      </c>
      <c r="E53" s="242"/>
      <c r="F53" s="5"/>
      <c r="G53" s="5"/>
      <c r="H53" s="6">
        <f>D53+E53+F53+G53</f>
        <v>0.61917</v>
      </c>
    </row>
    <row r="54" spans="1:9" s="11" customFormat="1" ht="15.75" thickBot="1" x14ac:dyDescent="0.3">
      <c r="A54" s="39"/>
      <c r="B54" s="61" t="s">
        <v>17</v>
      </c>
      <c r="C54" s="106" t="s">
        <v>24</v>
      </c>
      <c r="D54" s="62">
        <f t="shared" ref="D54:H54" si="10">SUM(D53:D53)</f>
        <v>0.61917</v>
      </c>
      <c r="E54" s="8">
        <f t="shared" si="10"/>
        <v>0</v>
      </c>
      <c r="F54" s="8">
        <f t="shared" si="10"/>
        <v>0</v>
      </c>
      <c r="G54" s="8">
        <f t="shared" si="10"/>
        <v>0</v>
      </c>
      <c r="H54" s="102">
        <f t="shared" si="10"/>
        <v>0.61917</v>
      </c>
    </row>
    <row r="55" spans="1:9" s="11" customFormat="1" ht="15.75" thickBot="1" x14ac:dyDescent="0.3">
      <c r="A55" s="125"/>
      <c r="B55" s="146"/>
      <c r="C55" s="121"/>
      <c r="D55" s="147"/>
      <c r="E55" s="147"/>
      <c r="F55" s="148"/>
      <c r="G55" s="148"/>
      <c r="H55" s="138">
        <f>D55+E55+F55+G55</f>
        <v>0</v>
      </c>
    </row>
    <row r="56" spans="1:9" s="11" customFormat="1" ht="15.75" thickBot="1" x14ac:dyDescent="0.3">
      <c r="A56" s="44"/>
      <c r="B56" s="45" t="s">
        <v>17</v>
      </c>
      <c r="C56" s="46" t="s">
        <v>28</v>
      </c>
      <c r="D56" s="59">
        <f>D50+D54</f>
        <v>408.45717000000002</v>
      </c>
      <c r="E56" s="63">
        <f t="shared" ref="E56:H56" si="11">E50+E54</f>
        <v>0</v>
      </c>
      <c r="F56" s="63">
        <f t="shared" si="11"/>
        <v>38.972000000000001</v>
      </c>
      <c r="G56" s="63">
        <f t="shared" si="11"/>
        <v>0</v>
      </c>
      <c r="H56" s="48">
        <f t="shared" si="11"/>
        <v>447.42917</v>
      </c>
    </row>
    <row r="57" spans="1:9" s="11" customFormat="1" ht="15.75" thickBot="1" x14ac:dyDescent="0.3">
      <c r="A57" s="129"/>
      <c r="B57" s="130"/>
      <c r="C57" s="131" t="s">
        <v>76</v>
      </c>
      <c r="D57" s="132">
        <f>D51+D55</f>
        <v>2109.52828</v>
      </c>
      <c r="E57" s="132">
        <f>E51+E55</f>
        <v>0</v>
      </c>
      <c r="F57" s="132">
        <f>F51+F55</f>
        <v>138.35059999999999</v>
      </c>
      <c r="G57" s="132">
        <f>G51+G55</f>
        <v>0</v>
      </c>
      <c r="H57" s="138">
        <f>D57+E57+F57+G57</f>
        <v>2247.8788800000002</v>
      </c>
    </row>
    <row r="58" spans="1:9" s="11" customFormat="1" ht="15.75" thickBot="1" x14ac:dyDescent="0.3">
      <c r="A58" s="227" t="s">
        <v>11</v>
      </c>
      <c r="B58" s="228"/>
      <c r="C58" s="229"/>
      <c r="D58" s="218"/>
      <c r="E58" s="230"/>
      <c r="F58" s="230"/>
      <c r="G58" s="230"/>
      <c r="H58" s="220"/>
    </row>
    <row r="59" spans="1:9" s="11" customFormat="1" ht="38.25" x14ac:dyDescent="0.25">
      <c r="A59" s="64"/>
      <c r="B59" s="31" t="s">
        <v>102</v>
      </c>
      <c r="C59" s="32" t="s">
        <v>103</v>
      </c>
      <c r="D59" s="65">
        <f>(39.808+1.47+D54)*0.03</f>
        <v>1.2569150999999998</v>
      </c>
      <c r="E59" s="66"/>
      <c r="F59" s="67"/>
      <c r="G59" s="66"/>
      <c r="H59" s="68">
        <f>D59+E59+F59+G59</f>
        <v>1.2569150999999998</v>
      </c>
    </row>
    <row r="60" spans="1:9" s="11" customFormat="1" hidden="1" x14ac:dyDescent="0.25">
      <c r="A60" s="69"/>
      <c r="B60" s="57"/>
      <c r="C60" s="162"/>
      <c r="D60" s="7"/>
      <c r="E60" s="70"/>
      <c r="F60" s="71"/>
      <c r="G60" s="65"/>
      <c r="H60" s="10">
        <f t="shared" ref="H60:H62" si="12">D60+E60+F60+G60</f>
        <v>0</v>
      </c>
    </row>
    <row r="61" spans="1:9" s="11" customFormat="1" hidden="1" x14ac:dyDescent="0.25">
      <c r="A61" s="69"/>
      <c r="B61" s="57"/>
      <c r="C61" s="36"/>
      <c r="D61" s="72"/>
      <c r="E61" s="71"/>
      <c r="F61" s="71"/>
      <c r="G61" s="8"/>
      <c r="H61" s="10">
        <f t="shared" si="12"/>
        <v>0</v>
      </c>
    </row>
    <row r="62" spans="1:9" s="11" customFormat="1" hidden="1" x14ac:dyDescent="0.25">
      <c r="A62" s="69"/>
      <c r="B62" s="57"/>
      <c r="C62" s="36"/>
      <c r="D62" s="72"/>
      <c r="E62" s="71"/>
      <c r="F62" s="71"/>
      <c r="G62" s="8"/>
      <c r="H62" s="10">
        <f t="shared" si="12"/>
        <v>0</v>
      </c>
    </row>
    <row r="63" spans="1:9" s="11" customFormat="1" ht="15.75" thickBot="1" x14ac:dyDescent="0.3">
      <c r="A63" s="73"/>
      <c r="B63" s="74" t="s">
        <v>17</v>
      </c>
      <c r="C63" s="93" t="s">
        <v>12</v>
      </c>
      <c r="D63" s="75">
        <f>SUM(D59:D62)</f>
        <v>1.2569150999999998</v>
      </c>
      <c r="E63" s="8">
        <f>SUM(E59:E62)</f>
        <v>0</v>
      </c>
      <c r="F63" s="8">
        <f>SUM(F59:F62)</f>
        <v>0</v>
      </c>
      <c r="G63" s="8">
        <f>SUM(G59:G62)</f>
        <v>0</v>
      </c>
      <c r="H63" s="99">
        <f>SUM(H59:H62)</f>
        <v>1.2569150999999998</v>
      </c>
      <c r="I63" s="160"/>
    </row>
    <row r="64" spans="1:9" s="11" customFormat="1" ht="15.75" thickBot="1" x14ac:dyDescent="0.3">
      <c r="A64" s="149"/>
      <c r="B64" s="150"/>
      <c r="C64" s="121" t="s">
        <v>77</v>
      </c>
      <c r="D64" s="151">
        <f>D57*0.03</f>
        <v>63.285848399999999</v>
      </c>
      <c r="E64" s="151"/>
      <c r="F64" s="152"/>
      <c r="G64" s="152"/>
      <c r="H64" s="138">
        <f>D64+E64+F64+G64</f>
        <v>63.285848399999999</v>
      </c>
    </row>
    <row r="65" spans="1:9" s="11" customFormat="1" ht="15.75" thickBot="1" x14ac:dyDescent="0.3">
      <c r="A65" s="76"/>
      <c r="B65" s="77" t="s">
        <v>17</v>
      </c>
      <c r="C65" s="78" t="s">
        <v>4</v>
      </c>
      <c r="D65" s="108">
        <f>D56+D63</f>
        <v>409.71408510000003</v>
      </c>
      <c r="E65" s="109">
        <f>E56+E63</f>
        <v>0</v>
      </c>
      <c r="F65" s="109">
        <f>F56+F63</f>
        <v>38.972000000000001</v>
      </c>
      <c r="G65" s="109">
        <f>G56+G63</f>
        <v>0</v>
      </c>
      <c r="H65" s="80">
        <f>H56+H63</f>
        <v>448.68608510000001</v>
      </c>
    </row>
    <row r="66" spans="1:9" s="11" customFormat="1" x14ac:dyDescent="0.25">
      <c r="A66" s="163"/>
      <c r="B66" s="153"/>
      <c r="C66" s="181" t="s">
        <v>78</v>
      </c>
      <c r="D66" s="182">
        <f>D57+D64</f>
        <v>2172.8141283999998</v>
      </c>
      <c r="E66" s="183">
        <f t="shared" ref="E66" si="13">E57+E64</f>
        <v>0</v>
      </c>
      <c r="F66" s="183">
        <f>F57+F64</f>
        <v>138.35059999999999</v>
      </c>
      <c r="G66" s="184">
        <f>G57+G64</f>
        <v>0</v>
      </c>
      <c r="H66" s="185">
        <f>D66+E66+F66+G66</f>
        <v>2311.1647284000001</v>
      </c>
    </row>
    <row r="67" spans="1:9" s="11" customFormat="1" x14ac:dyDescent="0.25">
      <c r="A67" s="238" t="s">
        <v>83</v>
      </c>
      <c r="B67" s="239"/>
      <c r="C67" s="239"/>
      <c r="D67" s="239"/>
      <c r="E67" s="239"/>
      <c r="F67" s="239"/>
      <c r="G67" s="239"/>
      <c r="H67" s="240"/>
    </row>
    <row r="68" spans="1:9" s="11" customFormat="1" ht="25.5" x14ac:dyDescent="0.25">
      <c r="A68" s="164"/>
      <c r="B68" s="162" t="s">
        <v>84</v>
      </c>
      <c r="C68" s="162" t="s">
        <v>85</v>
      </c>
      <c r="D68" s="165"/>
      <c r="E68" s="165"/>
      <c r="F68" s="165"/>
      <c r="G68" s="168">
        <f>H65*0.011</f>
        <v>4.9355469360999997</v>
      </c>
      <c r="H68" s="166"/>
    </row>
    <row r="69" spans="1:9" s="11" customFormat="1" x14ac:dyDescent="0.25">
      <c r="A69" s="164"/>
      <c r="B69" s="162" t="s">
        <v>86</v>
      </c>
      <c r="C69" s="162" t="s">
        <v>87</v>
      </c>
      <c r="D69" s="165"/>
      <c r="E69" s="165"/>
      <c r="F69" s="165"/>
      <c r="G69" s="168">
        <f>H65*0.0214</f>
        <v>9.6018822211400003</v>
      </c>
      <c r="H69" s="166"/>
    </row>
    <row r="70" spans="1:9" s="11" customFormat="1" x14ac:dyDescent="0.25">
      <c r="A70" s="169"/>
      <c r="B70" s="170"/>
      <c r="C70" s="95" t="s">
        <v>13</v>
      </c>
      <c r="D70" s="171"/>
      <c r="E70" s="171"/>
      <c r="F70" s="171"/>
      <c r="G70" s="171">
        <f>SUM(G68:G69)</f>
        <v>14.53742915724</v>
      </c>
      <c r="H70" s="172"/>
    </row>
    <row r="71" spans="1:9" s="11" customFormat="1" x14ac:dyDescent="0.25">
      <c r="A71" s="186"/>
      <c r="B71" s="187"/>
      <c r="C71" s="188" t="s">
        <v>88</v>
      </c>
      <c r="D71" s="189"/>
      <c r="E71" s="189"/>
      <c r="F71" s="189"/>
      <c r="G71" s="189">
        <f>H66*0.011+H66*0.0214</f>
        <v>74.881737200160003</v>
      </c>
      <c r="H71" s="138">
        <f>SUM(D71:G71)</f>
        <v>74.881737200160003</v>
      </c>
    </row>
    <row r="72" spans="1:9" s="11" customFormat="1" x14ac:dyDescent="0.25">
      <c r="A72" s="164"/>
      <c r="B72" s="74"/>
      <c r="C72" s="173" t="s">
        <v>19</v>
      </c>
      <c r="D72" s="165">
        <f>D65</f>
        <v>409.71408510000003</v>
      </c>
      <c r="E72" s="165">
        <f t="shared" ref="E72" si="14">E65</f>
        <v>0</v>
      </c>
      <c r="F72" s="165">
        <f>F65</f>
        <v>38.972000000000001</v>
      </c>
      <c r="G72" s="165">
        <f>G65+G70</f>
        <v>14.53742915724</v>
      </c>
      <c r="H72" s="165">
        <f>SUM(D72:G72)</f>
        <v>463.22351425724003</v>
      </c>
    </row>
    <row r="73" spans="1:9" s="11" customFormat="1" x14ac:dyDescent="0.25">
      <c r="A73" s="186"/>
      <c r="B73" s="187"/>
      <c r="C73" s="190" t="s">
        <v>89</v>
      </c>
      <c r="D73" s="189">
        <f>D66+D71</f>
        <v>2172.8141283999998</v>
      </c>
      <c r="E73" s="189">
        <f t="shared" ref="E73:F73" si="15">E66+E71</f>
        <v>0</v>
      </c>
      <c r="F73" s="189">
        <f t="shared" si="15"/>
        <v>138.35059999999999</v>
      </c>
      <c r="G73" s="189">
        <f>G66+G71</f>
        <v>74.881737200160003</v>
      </c>
      <c r="H73" s="138">
        <f>SUM(D73:G73)</f>
        <v>2386.04646560016</v>
      </c>
    </row>
    <row r="74" spans="1:9" s="11" customFormat="1" x14ac:dyDescent="0.25">
      <c r="A74" s="231" t="s">
        <v>20</v>
      </c>
      <c r="B74" s="232"/>
      <c r="C74" s="233"/>
      <c r="D74" s="81"/>
      <c r="E74" s="82"/>
      <c r="F74" s="82"/>
      <c r="G74" s="82"/>
      <c r="H74" s="83"/>
    </row>
    <row r="75" spans="1:9" s="11" customFormat="1" ht="72" x14ac:dyDescent="0.25">
      <c r="A75" s="110"/>
      <c r="B75" s="180" t="s">
        <v>104</v>
      </c>
      <c r="C75" s="180" t="s">
        <v>90</v>
      </c>
      <c r="D75" s="111"/>
      <c r="E75" s="111"/>
      <c r="F75" s="111"/>
      <c r="G75" s="8">
        <f>71.16+34.536</f>
        <v>105.696</v>
      </c>
      <c r="H75" s="10">
        <f>G75</f>
        <v>105.696</v>
      </c>
    </row>
    <row r="76" spans="1:9" x14ac:dyDescent="0.25">
      <c r="A76" s="174"/>
      <c r="B76" s="167"/>
      <c r="C76" s="167"/>
      <c r="D76" s="175"/>
      <c r="E76" s="176"/>
      <c r="F76" s="176"/>
      <c r="G76" s="8"/>
      <c r="H76" s="10"/>
      <c r="I76" s="11"/>
    </row>
    <row r="77" spans="1:9" ht="15.75" thickBot="1" x14ac:dyDescent="0.3">
      <c r="A77" s="69"/>
      <c r="B77" s="84" t="s">
        <v>17</v>
      </c>
      <c r="C77" s="85" t="s">
        <v>14</v>
      </c>
      <c r="D77" s="75"/>
      <c r="E77" s="86"/>
      <c r="F77" s="86"/>
      <c r="G77" s="8">
        <f>G75+G76</f>
        <v>105.696</v>
      </c>
      <c r="H77" s="8">
        <f>H75+H76</f>
        <v>105.696</v>
      </c>
      <c r="I77" s="11"/>
    </row>
    <row r="78" spans="1:9" ht="15.75" thickBot="1" x14ac:dyDescent="0.3">
      <c r="A78" s="154"/>
      <c r="B78" s="155"/>
      <c r="C78" s="121" t="s">
        <v>79</v>
      </c>
      <c r="D78" s="151"/>
      <c r="E78" s="156"/>
      <c r="F78" s="156"/>
      <c r="G78" s="152">
        <f>G75*3.53+(H66*0.002)</f>
        <v>377.72920945679999</v>
      </c>
      <c r="H78" s="152">
        <f>G78</f>
        <v>377.72920945679999</v>
      </c>
      <c r="I78" s="11"/>
    </row>
    <row r="79" spans="1:9" ht="15.75" thickBot="1" x14ac:dyDescent="0.3">
      <c r="A79" s="44"/>
      <c r="B79" s="87" t="s">
        <v>17</v>
      </c>
      <c r="C79" s="88" t="s">
        <v>21</v>
      </c>
      <c r="D79" s="79">
        <f>D72+D77</f>
        <v>409.71408510000003</v>
      </c>
      <c r="E79" s="79">
        <f t="shared" ref="E79:G79" si="16">E72+E77</f>
        <v>0</v>
      </c>
      <c r="F79" s="79">
        <f t="shared" si="16"/>
        <v>38.972000000000001</v>
      </c>
      <c r="G79" s="108">
        <f t="shared" si="16"/>
        <v>120.23342915724</v>
      </c>
      <c r="H79" s="191">
        <f>SUM(D79:G79)</f>
        <v>568.91951425724005</v>
      </c>
      <c r="I79" s="11"/>
    </row>
    <row r="80" spans="1:9" ht="15.75" thickBot="1" x14ac:dyDescent="0.3">
      <c r="A80" s="157"/>
      <c r="B80" s="158"/>
      <c r="C80" s="131" t="s">
        <v>80</v>
      </c>
      <c r="D80" s="159">
        <f>D78+D73</f>
        <v>2172.8141283999998</v>
      </c>
      <c r="E80" s="159">
        <f t="shared" ref="E80" si="17">E78+E73</f>
        <v>0</v>
      </c>
      <c r="F80" s="159">
        <f>F78+F73</f>
        <v>138.35059999999999</v>
      </c>
      <c r="G80" s="189">
        <f>G78+G73</f>
        <v>452.61094665695998</v>
      </c>
      <c r="H80" s="138">
        <f>SUM(D80:G80)</f>
        <v>2763.7756750569602</v>
      </c>
      <c r="I80" s="11"/>
    </row>
    <row r="81" spans="1:9" ht="15.75" thickBot="1" x14ac:dyDescent="0.3">
      <c r="A81" s="234"/>
      <c r="B81" s="235"/>
      <c r="C81" s="235"/>
      <c r="D81" s="81"/>
      <c r="E81" s="82"/>
      <c r="F81" s="82"/>
      <c r="G81" s="82"/>
      <c r="H81" s="83"/>
      <c r="I81" s="11"/>
    </row>
    <row r="82" spans="1:9" s="11" customFormat="1" x14ac:dyDescent="0.25">
      <c r="A82" s="64">
        <v>21</v>
      </c>
      <c r="B82" s="89" t="s">
        <v>22</v>
      </c>
      <c r="C82" s="90" t="s">
        <v>91</v>
      </c>
      <c r="D82" s="91">
        <f>D80*3%</f>
        <v>65.184423851999995</v>
      </c>
      <c r="E82" s="91">
        <f>E80*3%</f>
        <v>0</v>
      </c>
      <c r="F82" s="177">
        <f>F80*3%</f>
        <v>4.150517999999999</v>
      </c>
      <c r="G82" s="177">
        <f>G80*3%</f>
        <v>13.578328399708798</v>
      </c>
      <c r="H82" s="178">
        <f>D82+E82+F82+G82</f>
        <v>82.913270251708795</v>
      </c>
    </row>
    <row r="83" spans="1:9" x14ac:dyDescent="0.25">
      <c r="A83" s="69"/>
      <c r="B83" s="92" t="s">
        <v>17</v>
      </c>
      <c r="C83" s="93" t="s">
        <v>5</v>
      </c>
      <c r="D83" s="75">
        <f>D80+D82</f>
        <v>2237.9985522519996</v>
      </c>
      <c r="E83" s="8">
        <f t="shared" ref="E83" si="18">E80+E82</f>
        <v>0</v>
      </c>
      <c r="F83" s="8">
        <f>F80+F82</f>
        <v>142.50111799999999</v>
      </c>
      <c r="G83" s="8">
        <f>G80+G82</f>
        <v>466.18927505666881</v>
      </c>
      <c r="H83" s="10">
        <f>D83+E83+F83+G83</f>
        <v>2846.6889453086687</v>
      </c>
      <c r="I83" s="11"/>
    </row>
    <row r="84" spans="1:9" ht="22.5" x14ac:dyDescent="0.25">
      <c r="A84" s="69"/>
      <c r="B84" s="92"/>
      <c r="C84" s="93" t="s">
        <v>64</v>
      </c>
      <c r="D84" s="75" t="s">
        <v>99</v>
      </c>
      <c r="E84" s="8"/>
      <c r="F84" s="8" t="s">
        <v>105</v>
      </c>
      <c r="G84" s="8"/>
      <c r="H84" s="10"/>
      <c r="I84" s="11"/>
    </row>
    <row r="85" spans="1:9" x14ac:dyDescent="0.25">
      <c r="A85" s="69"/>
      <c r="B85" s="92"/>
      <c r="C85" s="93" t="s">
        <v>65</v>
      </c>
      <c r="D85" s="75">
        <f>1.06*1.049*1.143*1.06*1.05*1.045*1.042</f>
        <v>1.5403051149503093</v>
      </c>
      <c r="E85" s="75">
        <f t="shared" ref="E85:G85" si="19">1.06*1.049*1.143*1.06*1.05*1.045*1.042</f>
        <v>1.5403051149503093</v>
      </c>
      <c r="F85" s="75">
        <f t="shared" si="19"/>
        <v>1.5403051149503093</v>
      </c>
      <c r="G85" s="75">
        <f t="shared" si="19"/>
        <v>1.5403051149503093</v>
      </c>
      <c r="H85" s="10"/>
      <c r="I85" s="11"/>
    </row>
    <row r="86" spans="1:9" x14ac:dyDescent="0.25">
      <c r="A86" s="39"/>
      <c r="B86" s="94"/>
      <c r="C86" s="95" t="s">
        <v>81</v>
      </c>
      <c r="D86" s="62">
        <f>D83*D85</f>
        <v>3447.200617285142</v>
      </c>
      <c r="E86" s="8">
        <f t="shared" ref="E86" si="20">E83*E85</f>
        <v>0</v>
      </c>
      <c r="F86" s="8">
        <f>F83*F85</f>
        <v>219.49520094153758</v>
      </c>
      <c r="G86" s="8">
        <f>G83*G85</f>
        <v>718.07372490476359</v>
      </c>
      <c r="H86" s="112">
        <f>D86+E86+F86+G86</f>
        <v>4384.7695431314432</v>
      </c>
      <c r="I86" s="11"/>
    </row>
    <row r="87" spans="1:9" ht="21" x14ac:dyDescent="0.25">
      <c r="A87" s="39"/>
      <c r="B87" s="94"/>
      <c r="C87" s="95" t="s">
        <v>66</v>
      </c>
      <c r="D87" s="62">
        <v>0.7</v>
      </c>
      <c r="E87" s="8">
        <v>0.7</v>
      </c>
      <c r="F87" s="8">
        <v>0.7</v>
      </c>
      <c r="G87" s="8">
        <v>0.7</v>
      </c>
      <c r="H87" s="10"/>
      <c r="I87" s="161"/>
    </row>
    <row r="88" spans="1:9" ht="21" x14ac:dyDescent="0.25">
      <c r="A88" s="243"/>
      <c r="B88" s="92"/>
      <c r="C88" s="244" t="s">
        <v>110</v>
      </c>
      <c r="D88" s="9">
        <f>D86*D87</f>
        <v>2413.0404320995995</v>
      </c>
      <c r="E88" s="9">
        <f t="shared" ref="E88:F88" si="21">E86*E87</f>
        <v>0</v>
      </c>
      <c r="F88" s="9">
        <f t="shared" si="21"/>
        <v>153.6466406590763</v>
      </c>
      <c r="G88" s="9">
        <f>G86*G87</f>
        <v>502.6516074333345</v>
      </c>
      <c r="H88" s="245">
        <f>D88+E88+F88+G88</f>
        <v>3069.3386801920101</v>
      </c>
      <c r="I88" s="160"/>
    </row>
    <row r="89" spans="1:9" hidden="1" x14ac:dyDescent="0.25">
      <c r="A89" s="164"/>
      <c r="B89" s="96" t="s">
        <v>17</v>
      </c>
      <c r="C89" s="244" t="s">
        <v>15</v>
      </c>
      <c r="D89" s="9">
        <f>D88*18%</f>
        <v>434.3472777779279</v>
      </c>
      <c r="E89" s="9">
        <f t="shared" ref="E89:G89" si="22">E88*18%</f>
        <v>0</v>
      </c>
      <c r="F89" s="9">
        <f t="shared" si="22"/>
        <v>27.656395318633731</v>
      </c>
      <c r="G89" s="9">
        <f t="shared" si="22"/>
        <v>90.477289338000205</v>
      </c>
      <c r="H89" s="8">
        <f>D89+E89+F89+G89</f>
        <v>552.48096243456177</v>
      </c>
      <c r="I89" s="11"/>
    </row>
    <row r="90" spans="1:9" hidden="1" x14ac:dyDescent="0.25">
      <c r="A90" s="243"/>
      <c r="B90" s="96" t="s">
        <v>17</v>
      </c>
      <c r="C90" s="244" t="s">
        <v>16</v>
      </c>
      <c r="D90" s="9">
        <f>D88+D89</f>
        <v>2847.3877098775274</v>
      </c>
      <c r="E90" s="9">
        <f t="shared" ref="E90:G90" si="23">E88+E89</f>
        <v>0</v>
      </c>
      <c r="F90" s="9">
        <f t="shared" si="23"/>
        <v>181.30303597771004</v>
      </c>
      <c r="G90" s="9">
        <f t="shared" si="23"/>
        <v>593.12889677133467</v>
      </c>
      <c r="H90" s="8">
        <f>D90+E90+F90+G90</f>
        <v>3621.8196426265722</v>
      </c>
      <c r="I90" s="11"/>
    </row>
    <row r="91" spans="1:9" ht="21" x14ac:dyDescent="0.25">
      <c r="A91" s="246"/>
      <c r="B91" s="246"/>
      <c r="C91" s="244" t="s">
        <v>111</v>
      </c>
      <c r="D91" s="247">
        <f>D88*1.2</f>
        <v>2895.6485185195193</v>
      </c>
      <c r="E91" s="247">
        <f t="shared" ref="E91:G91" si="24">E88*1.2</f>
        <v>0</v>
      </c>
      <c r="F91" s="247">
        <f t="shared" si="24"/>
        <v>184.37596879089156</v>
      </c>
      <c r="G91" s="247">
        <f t="shared" si="24"/>
        <v>603.18192892000138</v>
      </c>
      <c r="H91" s="248">
        <f>H88*1.2</f>
        <v>3683.2064162304118</v>
      </c>
      <c r="I91" s="11"/>
    </row>
    <row r="92" spans="1:9" x14ac:dyDescent="0.25">
      <c r="A92" s="11"/>
      <c r="B92" s="97" t="s">
        <v>93</v>
      </c>
      <c r="D92" s="97"/>
      <c r="E92" s="97"/>
      <c r="F92" s="97"/>
      <c r="G92" s="97" t="s">
        <v>94</v>
      </c>
      <c r="I92" s="97"/>
    </row>
    <row r="93" spans="1:9" x14ac:dyDescent="0.25">
      <c r="A93" s="11"/>
      <c r="B93" s="97"/>
      <c r="D93" s="97"/>
      <c r="E93" s="97"/>
      <c r="F93" s="97"/>
      <c r="G93" s="97"/>
      <c r="I93" s="97"/>
    </row>
    <row r="94" spans="1:9" x14ac:dyDescent="0.25">
      <c r="A94" s="11"/>
      <c r="B94" s="97" t="s">
        <v>95</v>
      </c>
      <c r="D94" s="97"/>
      <c r="E94" s="97"/>
      <c r="F94" s="97"/>
      <c r="G94" s="97" t="s">
        <v>67</v>
      </c>
      <c r="I94" s="97"/>
    </row>
    <row r="95" spans="1:9" x14ac:dyDescent="0.25">
      <c r="A95" s="11"/>
      <c r="B95" s="97"/>
      <c r="D95" s="97"/>
      <c r="E95" s="97"/>
      <c r="F95" s="97"/>
      <c r="G95" s="97"/>
      <c r="I95" s="97"/>
    </row>
    <row r="96" spans="1:9" x14ac:dyDescent="0.25">
      <c r="A96" s="11"/>
      <c r="B96" s="97" t="s">
        <v>97</v>
      </c>
      <c r="D96" s="97"/>
      <c r="E96" s="97"/>
      <c r="F96" s="97"/>
      <c r="G96" s="97" t="s">
        <v>96</v>
      </c>
      <c r="I96" s="97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C98" t="s">
        <v>60</v>
      </c>
      <c r="D98">
        <v>2019</v>
      </c>
    </row>
    <row r="99" spans="1:9" x14ac:dyDescent="0.25">
      <c r="C99" t="s">
        <v>60</v>
      </c>
      <c r="D99" t="s">
        <v>61</v>
      </c>
    </row>
    <row r="100" spans="1:9" x14ac:dyDescent="0.25">
      <c r="C100">
        <v>2013</v>
      </c>
      <c r="D100">
        <v>1.06</v>
      </c>
    </row>
    <row r="101" spans="1:9" x14ac:dyDescent="0.25">
      <c r="C101">
        <v>2014</v>
      </c>
      <c r="D101">
        <v>1.0489999999999999</v>
      </c>
      <c r="F101">
        <f>D100*D101*D102*D103*D104*D105*D106</f>
        <v>1.5403051149503093</v>
      </c>
    </row>
    <row r="102" spans="1:9" x14ac:dyDescent="0.25">
      <c r="C102">
        <v>2015</v>
      </c>
      <c r="D102">
        <v>1.143</v>
      </c>
    </row>
    <row r="103" spans="1:9" x14ac:dyDescent="0.25">
      <c r="C103">
        <v>2016</v>
      </c>
      <c r="D103">
        <v>1.06</v>
      </c>
    </row>
    <row r="104" spans="1:9" x14ac:dyDescent="0.25">
      <c r="C104">
        <v>2017</v>
      </c>
      <c r="D104">
        <v>1.05</v>
      </c>
    </row>
    <row r="105" spans="1:9" x14ac:dyDescent="0.25">
      <c r="C105">
        <v>2018</v>
      </c>
      <c r="D105">
        <v>1.0449999999999999</v>
      </c>
    </row>
    <row r="106" spans="1:9" x14ac:dyDescent="0.25">
      <c r="C106">
        <v>2019</v>
      </c>
      <c r="D106">
        <v>1.042</v>
      </c>
    </row>
    <row r="107" spans="1:9" x14ac:dyDescent="0.25">
      <c r="C107">
        <v>2020</v>
      </c>
      <c r="D107">
        <v>1.0389999999999999</v>
      </c>
    </row>
    <row r="108" spans="1:9" x14ac:dyDescent="0.25">
      <c r="C108">
        <v>2021</v>
      </c>
      <c r="D108">
        <v>1.04</v>
      </c>
    </row>
    <row r="109" spans="1:9" x14ac:dyDescent="0.25">
      <c r="C109">
        <v>2022</v>
      </c>
      <c r="D109">
        <v>1.034</v>
      </c>
    </row>
  </sheetData>
  <mergeCells count="29">
    <mergeCell ref="A58:C58"/>
    <mergeCell ref="D58:H58"/>
    <mergeCell ref="A74:C74"/>
    <mergeCell ref="A81:C81"/>
    <mergeCell ref="A41:C41"/>
    <mergeCell ref="D41:H41"/>
    <mergeCell ref="A46:C46"/>
    <mergeCell ref="D46:H46"/>
    <mergeCell ref="A52:C52"/>
    <mergeCell ref="D52:H52"/>
    <mergeCell ref="A67:H67"/>
    <mergeCell ref="D53:E53"/>
    <mergeCell ref="A16:C16"/>
    <mergeCell ref="D16:H16"/>
    <mergeCell ref="A23:C23"/>
    <mergeCell ref="D23:H23"/>
    <mergeCell ref="A32:C32"/>
    <mergeCell ref="D32:H32"/>
    <mergeCell ref="D25:E25"/>
    <mergeCell ref="D28:E28"/>
    <mergeCell ref="D29:E29"/>
    <mergeCell ref="D2:H4"/>
    <mergeCell ref="D5:H5"/>
    <mergeCell ref="A11:H11"/>
    <mergeCell ref="A13:A14"/>
    <mergeCell ref="B13:B14"/>
    <mergeCell ref="C13:C14"/>
    <mergeCell ref="D13:H13"/>
    <mergeCell ref="G12:H12"/>
  </mergeCells>
  <pageMargins left="0.62992125984251968" right="0" top="0" bottom="0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2019-04-09T12:37:11Z</dcterms:modified>
</cp:coreProperties>
</file>